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Mi unidad\Proyecto Rotaciones Lechería\Fert forrajeras\"/>
    </mc:Choice>
  </mc:AlternateContent>
  <xr:revisionPtr revIDLastSave="0" documentId="8_{EB29A473-3953-4152-94E8-9EB47DD4B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a" sheetId="4" r:id="rId1"/>
    <sheet name="Oculta" sheetId="1" state="hidden" r:id="rId2"/>
    <sheet name="Ej. Analisis sensibilidad" sheetId="3" r:id="rId3"/>
    <sheet name="Acerc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O3" i="1"/>
  <c r="N3" i="1"/>
  <c r="M3" i="1"/>
  <c r="M7" i="1"/>
  <c r="M6" i="1"/>
  <c r="N6" i="1"/>
  <c r="P3" i="1" l="1"/>
  <c r="V14" i="3"/>
  <c r="U13" i="3"/>
  <c r="U9" i="3" s="1"/>
  <c r="U8" i="3" s="1"/>
  <c r="T8" i="3"/>
  <c r="T7" i="3"/>
  <c r="U15" i="3" l="1"/>
  <c r="U14" i="3" s="1"/>
  <c r="U10" i="3" s="1"/>
  <c r="U11" i="3" s="1"/>
  <c r="V11" i="3" s="1"/>
  <c r="F12" i="1"/>
  <c r="D12" i="1"/>
  <c r="G12" i="1" l="1"/>
  <c r="Q17" i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I3" i="1" l="1"/>
  <c r="I5" i="1" s="1"/>
  <c r="H3" i="1"/>
  <c r="H5" i="1" s="1"/>
  <c r="C3" i="1" l="1"/>
  <c r="J3" i="1" l="1"/>
  <c r="J5" i="1" s="1"/>
  <c r="D4" i="3" l="1"/>
  <c r="E3" i="1"/>
  <c r="D3" i="1"/>
  <c r="E8" i="1"/>
  <c r="E9" i="1"/>
  <c r="E10" i="1"/>
  <c r="E11" i="1"/>
  <c r="E12" i="1"/>
  <c r="K17" i="1" l="1"/>
  <c r="L17" i="1"/>
  <c r="C18" i="1"/>
  <c r="C22" i="1"/>
  <c r="C26" i="1"/>
  <c r="C30" i="1"/>
  <c r="C28" i="1"/>
  <c r="C25" i="1"/>
  <c r="C19" i="1"/>
  <c r="C23" i="1"/>
  <c r="C27" i="1"/>
  <c r="C17" i="1"/>
  <c r="C24" i="1"/>
  <c r="C21" i="1"/>
  <c r="C20" i="1"/>
  <c r="C29" i="1"/>
  <c r="K26" i="1"/>
  <c r="K19" i="1"/>
  <c r="L24" i="1"/>
  <c r="K18" i="1"/>
  <c r="L25" i="1"/>
  <c r="K23" i="1"/>
  <c r="L28" i="1"/>
  <c r="L20" i="1"/>
  <c r="K22" i="1"/>
  <c r="L27" i="1"/>
  <c r="L23" i="1"/>
  <c r="L19" i="1"/>
  <c r="K29" i="1"/>
  <c r="K25" i="1"/>
  <c r="K21" i="1"/>
  <c r="L29" i="1"/>
  <c r="L21" i="1"/>
  <c r="K27" i="1"/>
  <c r="K30" i="1"/>
  <c r="L30" i="1"/>
  <c r="L26" i="1"/>
  <c r="L22" i="1"/>
  <c r="L18" i="1"/>
  <c r="K28" i="1"/>
  <c r="K24" i="1"/>
  <c r="K20" i="1"/>
  <c r="C13" i="1" l="1"/>
  <c r="D6" i="1"/>
  <c r="D5" i="1"/>
  <c r="C4" i="1"/>
  <c r="G19" i="3" l="1"/>
  <c r="G4" i="3" s="1"/>
  <c r="F15" i="3"/>
  <c r="F18" i="3" s="1"/>
  <c r="F19" i="3" s="1"/>
  <c r="F20" i="3" s="1"/>
  <c r="E19" i="3"/>
  <c r="E15" i="3"/>
  <c r="E3" i="3"/>
  <c r="E4" i="3" s="1"/>
  <c r="E5" i="3" s="1"/>
  <c r="E8" i="3" s="1"/>
  <c r="E11" i="3" s="1"/>
  <c r="E12" i="3" s="1"/>
  <c r="E14" i="3" s="1"/>
  <c r="E16" i="3" s="1"/>
  <c r="E18" i="3" s="1"/>
  <c r="E20" i="3" s="1"/>
  <c r="D8" i="3"/>
  <c r="D11" i="3" s="1"/>
  <c r="D14" i="3"/>
  <c r="D15" i="3" s="1"/>
  <c r="D16" i="3" s="1"/>
  <c r="D18" i="3" s="1"/>
  <c r="D19" i="3" s="1"/>
  <c r="D20" i="3" s="1"/>
  <c r="G14" i="3" l="1"/>
  <c r="G8" i="3"/>
  <c r="G3" i="3"/>
  <c r="G12" i="3"/>
  <c r="G7" i="3"/>
  <c r="F3" i="3"/>
  <c r="F4" i="3" s="1"/>
  <c r="F5" i="3" s="1"/>
  <c r="F7" i="3" s="1"/>
  <c r="F8" i="3" s="1"/>
  <c r="F9" i="3" s="1"/>
  <c r="F11" i="3" s="1"/>
  <c r="F12" i="3" s="1"/>
  <c r="G16" i="3"/>
  <c r="G11" i="3"/>
  <c r="G5" i="3"/>
  <c r="G15" i="3"/>
  <c r="G9" i="3"/>
  <c r="D9" i="1"/>
  <c r="D10" i="1"/>
  <c r="D11" i="1"/>
  <c r="D8" i="1"/>
  <c r="G8" i="1" s="1"/>
  <c r="G20" i="3" l="1"/>
  <c r="G18" i="3"/>
  <c r="F16" i="3" l="1"/>
  <c r="F14" i="3"/>
  <c r="E9" i="3"/>
  <c r="E7" i="3"/>
  <c r="D5" i="3"/>
  <c r="D3" i="3"/>
  <c r="H9" i="1" l="1"/>
  <c r="J17" i="1" s="1"/>
  <c r="E17" i="1" l="1"/>
  <c r="F17" i="1" s="1"/>
  <c r="G17" i="1" s="1"/>
  <c r="J22" i="1"/>
  <c r="E22" i="1" s="1"/>
  <c r="F22" i="1" s="1"/>
  <c r="J26" i="1"/>
  <c r="E26" i="1" s="1"/>
  <c r="F26" i="1" s="1"/>
  <c r="J30" i="1"/>
  <c r="E30" i="1" s="1"/>
  <c r="F30" i="1" s="1"/>
  <c r="J25" i="1"/>
  <c r="E25" i="1" s="1"/>
  <c r="F25" i="1" s="1"/>
  <c r="J19" i="1"/>
  <c r="E19" i="1" s="1"/>
  <c r="F19" i="1" s="1"/>
  <c r="J23" i="1"/>
  <c r="E23" i="1" s="1"/>
  <c r="F23" i="1" s="1"/>
  <c r="J27" i="1"/>
  <c r="E27" i="1" s="1"/>
  <c r="F27" i="1" s="1"/>
  <c r="J18" i="1"/>
  <c r="E18" i="1" s="1"/>
  <c r="F18" i="1" s="1"/>
  <c r="J24" i="1"/>
  <c r="E24" i="1" s="1"/>
  <c r="F24" i="1" s="1"/>
  <c r="J28" i="1"/>
  <c r="E28" i="1" s="1"/>
  <c r="F28" i="1" s="1"/>
  <c r="J21" i="1"/>
  <c r="E21" i="1" s="1"/>
  <c r="F21" i="1" s="1"/>
  <c r="J29" i="1"/>
  <c r="E29" i="1" s="1"/>
  <c r="F29" i="1" s="1"/>
  <c r="J20" i="1"/>
  <c r="E20" i="1" s="1"/>
  <c r="F20" i="1" s="1"/>
  <c r="G11" i="1"/>
  <c r="G10" i="1"/>
  <c r="G9" i="1"/>
  <c r="D17" i="1" l="1"/>
  <c r="H30" i="1"/>
  <c r="P30" i="1" s="1"/>
  <c r="H27" i="1"/>
  <c r="P27" i="1" s="1"/>
  <c r="H22" i="1"/>
  <c r="P22" i="1" s="1"/>
  <c r="H29" i="1"/>
  <c r="P29" i="1" s="1"/>
  <c r="H25" i="1"/>
  <c r="P25" i="1" s="1"/>
  <c r="H26" i="1"/>
  <c r="P26" i="1" s="1"/>
  <c r="H18" i="1"/>
  <c r="P18" i="1" s="1"/>
  <c r="H20" i="1"/>
  <c r="P20" i="1" s="1"/>
  <c r="H21" i="1"/>
  <c r="P21" i="1" s="1"/>
  <c r="H19" i="1"/>
  <c r="P19" i="1" s="1"/>
  <c r="H17" i="1"/>
  <c r="P17" i="1" s="1"/>
  <c r="H28" i="1"/>
  <c r="P28" i="1" s="1"/>
  <c r="H24" i="1"/>
  <c r="P24" i="1" s="1"/>
  <c r="H23" i="1"/>
  <c r="P23" i="1" s="1"/>
  <c r="D18" i="1"/>
  <c r="G23" i="1"/>
  <c r="D30" i="1"/>
  <c r="D21" i="1"/>
  <c r="G21" i="1"/>
  <c r="D25" i="1"/>
  <c r="G25" i="1"/>
  <c r="D27" i="1"/>
  <c r="G27" i="1"/>
  <c r="G30" i="1"/>
  <c r="G18" i="1"/>
  <c r="D20" i="1"/>
  <c r="G20" i="1"/>
  <c r="D28" i="1"/>
  <c r="G28" i="1"/>
  <c r="D23" i="1"/>
  <c r="D26" i="1"/>
  <c r="G26" i="1"/>
  <c r="D29" i="1"/>
  <c r="G29" i="1"/>
  <c r="D24" i="1"/>
  <c r="G24" i="1"/>
  <c r="D19" i="1"/>
  <c r="G19" i="1"/>
  <c r="D22" i="1"/>
  <c r="G22" i="1"/>
  <c r="I26" i="1" l="1"/>
  <c r="I19" i="1"/>
  <c r="I28" i="1"/>
  <c r="I27" i="1"/>
  <c r="I17" i="1"/>
  <c r="I30" i="1"/>
  <c r="I25" i="1"/>
  <c r="I29" i="1"/>
  <c r="I24" i="1"/>
  <c r="I23" i="1"/>
  <c r="I20" i="1"/>
  <c r="I22" i="1"/>
  <c r="I21" i="1"/>
  <c r="I18" i="1"/>
  <c r="N22" i="1" l="1"/>
  <c r="N20" i="1"/>
  <c r="N25" i="1"/>
  <c r="N28" i="1"/>
  <c r="N29" i="1"/>
  <c r="N23" i="1"/>
  <c r="N19" i="1"/>
  <c r="N27" i="1"/>
  <c r="N18" i="1"/>
  <c r="N30" i="1"/>
  <c r="N21" i="1"/>
  <c r="N24" i="1"/>
  <c r="N26" i="1"/>
  <c r="S16" i="1"/>
  <c r="O29" i="1" s="1"/>
  <c r="N17" i="1"/>
  <c r="R17" i="1" l="1"/>
  <c r="R21" i="1"/>
  <c r="R18" i="1"/>
  <c r="R19" i="1"/>
  <c r="R29" i="1"/>
  <c r="R25" i="1"/>
  <c r="R22" i="1"/>
  <c r="O17" i="1"/>
  <c r="O22" i="1"/>
  <c r="R26" i="1"/>
  <c r="R24" i="1"/>
  <c r="R30" i="1"/>
  <c r="R27" i="1"/>
  <c r="R23" i="1"/>
  <c r="R28" i="1"/>
  <c r="R20" i="1"/>
  <c r="M31" i="1"/>
  <c r="O27" i="1"/>
  <c r="O20" i="1"/>
  <c r="O19" i="1"/>
  <c r="O24" i="1"/>
  <c r="O23" i="1"/>
  <c r="O18" i="1"/>
  <c r="O26" i="1"/>
  <c r="O28" i="1"/>
  <c r="O25" i="1"/>
  <c r="M32" i="1"/>
  <c r="O21" i="1"/>
  <c r="O30" i="1"/>
</calcChain>
</file>

<file path=xl/sharedStrings.xml><?xml version="1.0" encoding="utf-8"?>
<sst xmlns="http://schemas.openxmlformats.org/spreadsheetml/2006/main" count="161" uniqueCount="108">
  <si>
    <t>IB</t>
  </si>
  <si>
    <t>CD</t>
  </si>
  <si>
    <t>siembra</t>
  </si>
  <si>
    <t>Eficiencia de cosecha</t>
  </si>
  <si>
    <t>Fertilizacion tipo</t>
  </si>
  <si>
    <t>Fertilizante</t>
  </si>
  <si>
    <t>UREA</t>
  </si>
  <si>
    <t>UAN</t>
  </si>
  <si>
    <t>CAN</t>
  </si>
  <si>
    <t>Precio</t>
  </si>
  <si>
    <t>SolMix</t>
  </si>
  <si>
    <t>Dividida</t>
  </si>
  <si>
    <t>$US/kg N</t>
  </si>
  <si>
    <t>IN</t>
  </si>
  <si>
    <t>Ef 3.5% siembra, 1.5 Dividida</t>
  </si>
  <si>
    <t>Ef 12% siembra o div</t>
  </si>
  <si>
    <t>si</t>
  </si>
  <si>
    <t>Ef 20% respecto a UREA</t>
  </si>
  <si>
    <t>Tasa</t>
  </si>
  <si>
    <t>Fertilizacion</t>
  </si>
  <si>
    <t>Fuente</t>
  </si>
  <si>
    <t>Ef Cosecha</t>
  </si>
  <si>
    <t>P leche</t>
  </si>
  <si>
    <t>DOE</t>
  </si>
  <si>
    <t>Siembra</t>
  </si>
  <si>
    <t>Tasa de interés</t>
  </si>
  <si>
    <t>Costo de aplicación</t>
  </si>
  <si>
    <t>Macollaje</t>
  </si>
  <si>
    <t>macollaje</t>
  </si>
  <si>
    <t>dividida</t>
  </si>
  <si>
    <t>IN DOE</t>
  </si>
  <si>
    <t>Precios</t>
  </si>
  <si>
    <t>Leche</t>
  </si>
  <si>
    <t>Momento de aplicación</t>
  </si>
  <si>
    <t>Purines</t>
  </si>
  <si>
    <t>US$/t</t>
  </si>
  <si>
    <t>% US$</t>
  </si>
  <si>
    <t>US$/ha</t>
  </si>
  <si>
    <t>Dosis N</t>
  </si>
  <si>
    <t>Resultados</t>
  </si>
  <si>
    <t>kg N/kg F</t>
  </si>
  <si>
    <t>IB= Ingreso Bruto</t>
  </si>
  <si>
    <t>CD= Costo Directo</t>
  </si>
  <si>
    <t>IN= Ingreso Neto</t>
  </si>
  <si>
    <t>DOE= Dosis Optima Económica</t>
  </si>
  <si>
    <t>Costo de fertilización, incluyendo aplicación, fertilizante e inmobilización del capital</t>
  </si>
  <si>
    <t>Retorno</t>
  </si>
  <si>
    <t>Variación</t>
  </si>
  <si>
    <t>Manejo</t>
  </si>
  <si>
    <t>Dosis a la cual se maximiza el ingreso en kg de fertilizante por hectárea</t>
  </si>
  <si>
    <t>Ingreso descontado los costos directos en dólares por hectárea</t>
  </si>
  <si>
    <t>Húmedo</t>
  </si>
  <si>
    <t>Sub-húmedo</t>
  </si>
  <si>
    <t>Semiárido</t>
  </si>
  <si>
    <t>Régimen hídrico</t>
  </si>
  <si>
    <t>Dosis F</t>
  </si>
  <si>
    <t>EA</t>
  </si>
  <si>
    <t>Parametros</t>
  </si>
  <si>
    <t>Calculos</t>
  </si>
  <si>
    <t>Precio aplicacion</t>
  </si>
  <si>
    <t>Clima</t>
  </si>
  <si>
    <t>Resp MS</t>
  </si>
  <si>
    <t>Los verdeos de invierno son un componente muy importante de la cadena forrajera durante otoño ‐ invierno - primavera. Al igual que el resto de las gramíneas, estas especies son de elevado potencial de respuesta a la fertilización nitrogenada. Esta herramienta se desarro a partir de una revision de ensayos en la Region Pampeana y resulta util para el calculo de dosis optimas de fertilizacion nitrogenada.</t>
  </si>
  <si>
    <t>Herramienta para el cálculo de dosis de fertilizante en verdeos de invierno</t>
  </si>
  <si>
    <t>IN (US$/ha)</t>
  </si>
  <si>
    <t>Planilla para realizar analisis de sensibilidad</t>
  </si>
  <si>
    <t>Sarmiento 1236 (C1041AAZ)</t>
  </si>
  <si>
    <t>Buenos Aires - Argentina</t>
  </si>
  <si>
    <t>www.crea.org.ar</t>
  </si>
  <si>
    <t>Proyecto Rotaciones en Tambo</t>
  </si>
  <si>
    <t>Asociación Argentina de Consorcios Regionales de Experimentación Agrícola</t>
  </si>
  <si>
    <t>Rollo o sustituto</t>
  </si>
  <si>
    <t>US$/kg MS</t>
  </si>
  <si>
    <t>Costo USD/kgMS</t>
  </si>
  <si>
    <t>Costo alt</t>
  </si>
  <si>
    <t>Costo en US$/kg MS de sustituto, rollo o similar</t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</si>
  <si>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 Gonzalo Berhongaray </t>
    </r>
  </si>
  <si>
    <t xml:space="preserve">           Ignacio Laulhe</t>
  </si>
  <si>
    <t>Area de Lechería CREA</t>
  </si>
  <si>
    <t>%N (MS)</t>
  </si>
  <si>
    <t>Epoca</t>
  </si>
  <si>
    <t>Otoño</t>
  </si>
  <si>
    <t>Invierno</t>
  </si>
  <si>
    <t>Primavera</t>
  </si>
  <si>
    <t>Epoca de aplicacion</t>
  </si>
  <si>
    <t>Fertilizantes</t>
  </si>
  <si>
    <t>28 % P2O5</t>
  </si>
  <si>
    <t>19.3% N</t>
  </si>
  <si>
    <t>501.9 USD</t>
  </si>
  <si>
    <t>UAN 489 USD</t>
  </si>
  <si>
    <t>UREA 651</t>
  </si>
  <si>
    <t>PDA 910 USD</t>
  </si>
  <si>
    <t>P</t>
  </si>
  <si>
    <t>N</t>
  </si>
  <si>
    <t>UDS</t>
  </si>
  <si>
    <t>Ingreso extra obtenido por la fertilización, tiene en cuenta la eficiencia de cosecha, precio del producto (carne o leche) y la eficiencia de conversion kg MS/ kg producto (carne o leche)</t>
  </si>
  <si>
    <t>La respuesta a la fertilizacion esta calculada para todo el ciclo del verdeo de invierno</t>
  </si>
  <si>
    <t>Las respuestas observadas son independientes de la especie de verdeo (avera o raigrás)</t>
  </si>
  <si>
    <t>kg MS/kg prod</t>
  </si>
  <si>
    <t>Eficiencia de conversion a carne</t>
  </si>
  <si>
    <t>Producto (carne o leche)</t>
  </si>
  <si>
    <t xml:space="preserve">Producción </t>
  </si>
  <si>
    <t xml:space="preserve">Tipo </t>
  </si>
  <si>
    <t>Carne</t>
  </si>
  <si>
    <t>Ef.</t>
  </si>
  <si>
    <t>Resp Producto</t>
  </si>
  <si>
    <t>Precio de producto</t>
  </si>
  <si>
    <t>US$/kg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</si>
</sst>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9" fontId="0" fillId="0" borderId="0" xfId="0" applyNumberFormat="1"/>
    <xf numFmtId="9" fontId="0" fillId="0" borderId="0" xfId="1" applyFont="1"/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5" fillId="4" borderId="0" xfId="0" applyFon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0" borderId="16" xfId="0" applyBorder="1"/>
    <xf numFmtId="0" fontId="2" fillId="2" borderId="0" xfId="0" applyFont="1" applyFill="1"/>
    <xf numFmtId="0" fontId="4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3" borderId="0" xfId="0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0" xfId="0" applyFill="1"/>
    <xf numFmtId="0" fontId="3" fillId="2" borderId="0" xfId="0" applyFont="1" applyFill="1"/>
    <xf numFmtId="0" fontId="0" fillId="2" borderId="0" xfId="0" applyFill="1" applyAlignment="1">
      <alignment vertical="top" wrapText="1"/>
    </xf>
    <xf numFmtId="1" fontId="0" fillId="2" borderId="0" xfId="0" applyNumberFormat="1" applyFill="1"/>
    <xf numFmtId="0" fontId="0" fillId="2" borderId="1" xfId="0" applyFill="1" applyBorder="1" applyProtection="1">
      <protection locked="0"/>
    </xf>
    <xf numFmtId="49" fontId="6" fillId="2" borderId="0" xfId="2" applyNumberFormat="1" applyFont="1" applyFill="1" applyProtection="1">
      <protection locked="0"/>
    </xf>
    <xf numFmtId="0" fontId="0" fillId="0" borderId="1" xfId="0" applyBorder="1" applyProtection="1">
      <protection locked="0"/>
    </xf>
    <xf numFmtId="0" fontId="0" fillId="2" borderId="0" xfId="0" applyFill="1" applyAlignment="1">
      <alignment vertical="top"/>
    </xf>
    <xf numFmtId="0" fontId="0" fillId="0" borderId="1" xfId="0" applyBorder="1"/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2" borderId="0" xfId="0" applyFont="1" applyFill="1" applyAlignment="1">
      <alignment horizontal="center" wrapText="1"/>
    </xf>
    <xf numFmtId="0" fontId="0" fillId="2" borderId="0" xfId="0" applyFill="1" applyProtection="1"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3467418244029"/>
          <c:y val="0.19060615604867576"/>
          <c:w val="0.77792263432252029"/>
          <c:h val="0.63450063186546124"/>
        </c:manualLayout>
      </c:layout>
      <c:scatterChart>
        <c:scatterStyle val="lineMarker"/>
        <c:varyColors val="0"/>
        <c:ser>
          <c:idx val="0"/>
          <c:order val="0"/>
          <c:tx>
            <c:strRef>
              <c:f>Oculta!$G$16</c:f>
              <c:strCache>
                <c:ptCount val="1"/>
                <c:pt idx="0">
                  <c:v>IB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Oculta!$G$17:$G$30</c:f>
              <c:numCache>
                <c:formatCode>0</c:formatCode>
                <c:ptCount val="14"/>
                <c:pt idx="0">
                  <c:v>93.484847941526283</c:v>
                </c:pt>
                <c:pt idx="1">
                  <c:v>153.46290748302789</c:v>
                </c:pt>
                <c:pt idx="2">
                  <c:v>201.00025488305479</c:v>
                </c:pt>
                <c:pt idx="3">
                  <c:v>240.50034678320557</c:v>
                </c:pt>
                <c:pt idx="4">
                  <c:v>274.02687994576257</c:v>
                </c:pt>
                <c:pt idx="5">
                  <c:v>302.77960705020377</c:v>
                </c:pt>
                <c:pt idx="6">
                  <c:v>327.54102523351969</c:v>
                </c:pt>
                <c:pt idx="7">
                  <c:v>348.86004546503926</c:v>
                </c:pt>
                <c:pt idx="8">
                  <c:v>367.14169517480917</c:v>
                </c:pt>
                <c:pt idx="9">
                  <c:v>382.69618068552415</c:v>
                </c:pt>
                <c:pt idx="10">
                  <c:v>406.55422087512619</c:v>
                </c:pt>
                <c:pt idx="11">
                  <c:v>426.68964983774356</c:v>
                </c:pt>
                <c:pt idx="12">
                  <c:v>431.0396185099836</c:v>
                </c:pt>
                <c:pt idx="13">
                  <c:v>425.54900958861174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66-4088-BA6C-CD9E644A447D}"/>
            </c:ext>
          </c:extLst>
        </c:ser>
        <c:ser>
          <c:idx val="1"/>
          <c:order val="1"/>
          <c:tx>
            <c:strRef>
              <c:f>Oculta!$H$16</c:f>
              <c:strCache>
                <c:ptCount val="1"/>
                <c:pt idx="0">
                  <c:v>CD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Oculta!$H$17:$H$30</c:f>
              <c:numCache>
                <c:formatCode>0</c:formatCode>
                <c:ptCount val="14"/>
                <c:pt idx="0">
                  <c:v>20.672826086956519</c:v>
                </c:pt>
                <c:pt idx="1">
                  <c:v>36.120652173913037</c:v>
                </c:pt>
                <c:pt idx="2">
                  <c:v>51.568478260869554</c:v>
                </c:pt>
                <c:pt idx="3">
                  <c:v>67.016304347826079</c:v>
                </c:pt>
                <c:pt idx="4">
                  <c:v>82.464130434782589</c:v>
                </c:pt>
                <c:pt idx="5">
                  <c:v>97.911956521739114</c:v>
                </c:pt>
                <c:pt idx="6">
                  <c:v>113.35978260869562</c:v>
                </c:pt>
                <c:pt idx="7">
                  <c:v>128.80760869565216</c:v>
                </c:pt>
                <c:pt idx="8">
                  <c:v>144.25543478260869</c:v>
                </c:pt>
                <c:pt idx="9">
                  <c:v>159.70326086956518</c:v>
                </c:pt>
                <c:pt idx="10">
                  <c:v>190.59891304347823</c:v>
                </c:pt>
                <c:pt idx="11">
                  <c:v>236.94239130434781</c:v>
                </c:pt>
                <c:pt idx="12">
                  <c:v>267.83804347826083</c:v>
                </c:pt>
                <c:pt idx="13">
                  <c:v>314.18152173913035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66-4088-BA6C-CD9E644A447D}"/>
            </c:ext>
          </c:extLst>
        </c:ser>
        <c:ser>
          <c:idx val="2"/>
          <c:order val="2"/>
          <c:tx>
            <c:strRef>
              <c:f>Oculta!$I$16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Oculta!$I$17:$I$30</c:f>
              <c:numCache>
                <c:formatCode>0</c:formatCode>
                <c:ptCount val="14"/>
                <c:pt idx="0">
                  <c:v>72.812021854569764</c:v>
                </c:pt>
                <c:pt idx="1">
                  <c:v>117.34225530911485</c:v>
                </c:pt>
                <c:pt idx="2">
                  <c:v>149.43177662218523</c:v>
                </c:pt>
                <c:pt idx="3">
                  <c:v>173.48404243537948</c:v>
                </c:pt>
                <c:pt idx="4">
                  <c:v>191.56274951097998</c:v>
                </c:pt>
                <c:pt idx="5">
                  <c:v>204.86765052846465</c:v>
                </c:pt>
                <c:pt idx="6">
                  <c:v>214.18124262482405</c:v>
                </c:pt>
                <c:pt idx="7">
                  <c:v>220.0524367693871</c:v>
                </c:pt>
                <c:pt idx="8">
                  <c:v>222.88626039220048</c:v>
                </c:pt>
                <c:pt idx="9">
                  <c:v>222.99291981595897</c:v>
                </c:pt>
                <c:pt idx="10">
                  <c:v>215.95530783164796</c:v>
                </c:pt>
                <c:pt idx="11">
                  <c:v>189.74725853339575</c:v>
                </c:pt>
                <c:pt idx="12">
                  <c:v>163.20157503172277</c:v>
                </c:pt>
                <c:pt idx="13">
                  <c:v>111.36748784948139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66-4088-BA6C-CD9E644A447D}"/>
            </c:ext>
          </c:extLst>
        </c:ser>
        <c:ser>
          <c:idx val="3"/>
          <c:order val="3"/>
          <c:tx>
            <c:strRef>
              <c:f>Oculta!$O$16</c:f>
              <c:strCache>
                <c:ptCount val="1"/>
                <c:pt idx="0">
                  <c:v>DOE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5.5555555555555504E-2"/>
                  <c:y val="-3.4575899032929798E-2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6-4088-BA6C-CD9E644A447D}"/>
                </c:ext>
              </c:extLst>
            </c:dLbl>
            <c:dLbl>
              <c:idx val="9"/>
              <c:layout>
                <c:manualLayout>
                  <c:x val="0.1111111111111111"/>
                  <c:y val="-4.3219873791162253E-2"/>
                </c:manualLayout>
              </c:layout>
              <c:showLegendKey val="0"/>
              <c:showVal val="0"/>
              <c:showCatName val="1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6-4088-BA6C-CD9E644A447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Oculta!$O$17:$O$30</c:f>
              <c:numCache>
                <c:formatCode>0</c:formatCode>
                <c:ptCount val="14"/>
                <c:pt idx="0">
                  <c:v>-9999</c:v>
                </c:pt>
                <c:pt idx="1">
                  <c:v>-9999</c:v>
                </c:pt>
                <c:pt idx="2">
                  <c:v>-9999</c:v>
                </c:pt>
                <c:pt idx="3">
                  <c:v>-9999</c:v>
                </c:pt>
                <c:pt idx="4">
                  <c:v>-9999</c:v>
                </c:pt>
                <c:pt idx="5">
                  <c:v>-9999</c:v>
                </c:pt>
                <c:pt idx="6">
                  <c:v>-9999</c:v>
                </c:pt>
                <c:pt idx="7">
                  <c:v>-9999</c:v>
                </c:pt>
                <c:pt idx="8">
                  <c:v>-9999</c:v>
                </c:pt>
                <c:pt idx="9">
                  <c:v>222.99291981595897</c:v>
                </c:pt>
                <c:pt idx="10">
                  <c:v>-9999</c:v>
                </c:pt>
                <c:pt idx="11">
                  <c:v>-9999</c:v>
                </c:pt>
                <c:pt idx="12">
                  <c:v>-9999</c:v>
                </c:pt>
                <c:pt idx="13">
                  <c:v>-9999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66-4088-BA6C-CD9E644A4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303696"/>
        <c:axId val="299303152"/>
      </c:scatterChart>
      <c:valAx>
        <c:axId val="299303696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Dosis de fertilizante (kg/ha)</a:t>
                </a:r>
              </a:p>
            </c:rich>
          </c:tx>
          <c:layout>
            <c:manualLayout>
              <c:xMode val="edge"/>
              <c:yMode val="edge"/>
              <c:x val="0.35982216008045725"/>
              <c:y val="0.9185060756294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3152"/>
        <c:crosses val="autoZero"/>
        <c:crossBetween val="midCat"/>
      </c:valAx>
      <c:valAx>
        <c:axId val="2993031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Costo o Ingreso (US$/ha)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36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004145509848653"/>
          <c:y val="4.7138718771264708E-2"/>
          <c:w val="0.30209872316685055"/>
          <c:h val="0.13801808107319918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3467418244029"/>
          <c:y val="0.1461615631379411"/>
          <c:w val="0.77792263432252029"/>
          <c:h val="0.68371947971448221"/>
        </c:manualLayout>
      </c:layout>
      <c:scatterChart>
        <c:scatterStyle val="lineMarker"/>
        <c:varyColors val="0"/>
        <c:ser>
          <c:idx val="0"/>
          <c:order val="0"/>
          <c:tx>
            <c:v>USD/kgMS extra por fertilizante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Oculta!$P$17:$P$30</c:f>
              <c:numCache>
                <c:formatCode>General</c:formatCode>
                <c:ptCount val="14"/>
                <c:pt idx="0">
                  <c:v>7.2967665118603586E-2</c:v>
                </c:pt>
                <c:pt idx="1">
                  <c:v>7.8127965882087785E-2</c:v>
                </c:pt>
                <c:pt idx="2">
                  <c:v>8.5666165822703227E-2</c:v>
                </c:pt>
                <c:pt idx="3">
                  <c:v>9.3591965562541402E-2</c:v>
                </c:pt>
                <c:pt idx="4">
                  <c:v>0.10166769709453738</c:v>
                </c:pt>
                <c:pt idx="5">
                  <c:v>0.10988608660233326</c:v>
                </c:pt>
                <c:pt idx="6">
                  <c:v>0.11828641323097572</c:v>
                </c:pt>
                <c:pt idx="7">
                  <c:v>0.12691864035176659</c:v>
                </c:pt>
                <c:pt idx="8">
                  <c:v>0.13583538869323994</c:v>
                </c:pt>
                <c:pt idx="9">
                  <c:v>0.14509062943786713</c:v>
                </c:pt>
                <c:pt idx="10">
                  <c:v>0.16484302454033609</c:v>
                </c:pt>
                <c:pt idx="11">
                  <c:v>0.19853222071672835</c:v>
                </c:pt>
                <c:pt idx="12">
                  <c:v>0.2246003932959493</c:v>
                </c:pt>
                <c:pt idx="13">
                  <c:v>0.27122075536649465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4D-4B0E-B376-38ACB8BD3D86}"/>
            </c:ext>
          </c:extLst>
        </c:ser>
        <c:ser>
          <c:idx val="1"/>
          <c:order val="1"/>
          <c:tx>
            <c:strRef>
              <c:f>Carga!$J$26</c:f>
              <c:strCache>
                <c:ptCount val="1"/>
                <c:pt idx="0">
                  <c:v>Rollo o sustituto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Oculta!$Q$17:$Q$30</c:f>
              <c:numCache>
                <c:formatCode>0.00</c:formatCode>
                <c:ptCount val="14"/>
                <c:pt idx="0">
                  <c:v>0.12820512820512819</c:v>
                </c:pt>
                <c:pt idx="1">
                  <c:v>0.12820512820512819</c:v>
                </c:pt>
                <c:pt idx="2">
                  <c:v>0.12820512820512819</c:v>
                </c:pt>
                <c:pt idx="3">
                  <c:v>0.12820512820512819</c:v>
                </c:pt>
                <c:pt idx="4">
                  <c:v>0.12820512820512819</c:v>
                </c:pt>
                <c:pt idx="5">
                  <c:v>0.12820512820512819</c:v>
                </c:pt>
                <c:pt idx="6">
                  <c:v>0.12820512820512819</c:v>
                </c:pt>
                <c:pt idx="7">
                  <c:v>0.12820512820512819</c:v>
                </c:pt>
                <c:pt idx="8">
                  <c:v>0.12820512820512819</c:v>
                </c:pt>
                <c:pt idx="9">
                  <c:v>0.12820512820512819</c:v>
                </c:pt>
                <c:pt idx="10">
                  <c:v>0.12820512820512819</c:v>
                </c:pt>
                <c:pt idx="11">
                  <c:v>0.12820512820512819</c:v>
                </c:pt>
                <c:pt idx="12">
                  <c:v>0.12820512820512819</c:v>
                </c:pt>
                <c:pt idx="13">
                  <c:v>0.12820512820512819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4D-4B0E-B376-38ACB8BD3D86}"/>
            </c:ext>
          </c:extLst>
        </c:ser>
        <c:ser>
          <c:idx val="3"/>
          <c:order val="2"/>
          <c:tx>
            <c:strRef>
              <c:f>Oculta!$O$16</c:f>
              <c:strCache>
                <c:ptCount val="1"/>
                <c:pt idx="0">
                  <c:v>DOE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Oculta!$C$17:$C$30</c:f>
              <c:numCache>
                <c:formatCode>0</c:formatCode>
                <c:ptCount val="14"/>
                <c:pt idx="0">
                  <c:v>21.739130434782609</c:v>
                </c:pt>
                <c:pt idx="1">
                  <c:v>43.478260869565219</c:v>
                </c:pt>
                <c:pt idx="2">
                  <c:v>65.217391304347828</c:v>
                </c:pt>
                <c:pt idx="3">
                  <c:v>86.956521739130437</c:v>
                </c:pt>
                <c:pt idx="4">
                  <c:v>108.69565217391303</c:v>
                </c:pt>
                <c:pt idx="5">
                  <c:v>130.43478260869566</c:v>
                </c:pt>
                <c:pt idx="6">
                  <c:v>152.17391304347825</c:v>
                </c:pt>
                <c:pt idx="7">
                  <c:v>173.91304347826087</c:v>
                </c:pt>
                <c:pt idx="8">
                  <c:v>195.65217391304347</c:v>
                </c:pt>
                <c:pt idx="9">
                  <c:v>217.39130434782606</c:v>
                </c:pt>
                <c:pt idx="10">
                  <c:v>260.86956521739131</c:v>
                </c:pt>
                <c:pt idx="11">
                  <c:v>326.08695652173913</c:v>
                </c:pt>
                <c:pt idx="12">
                  <c:v>369.56521739130432</c:v>
                </c:pt>
                <c:pt idx="13">
                  <c:v>434.78260869565213</c:v>
                </c:pt>
              </c:numCache>
            </c:numRef>
          </c:xVal>
          <c:yVal>
            <c:numRef>
              <c:f>Oculta!$R$17:$R$30</c:f>
              <c:numCache>
                <c:formatCode>General</c:formatCode>
                <c:ptCount val="14"/>
                <c:pt idx="0">
                  <c:v>-9999</c:v>
                </c:pt>
                <c:pt idx="1">
                  <c:v>-9999</c:v>
                </c:pt>
                <c:pt idx="2">
                  <c:v>-9999</c:v>
                </c:pt>
                <c:pt idx="3">
                  <c:v>-9999</c:v>
                </c:pt>
                <c:pt idx="4">
                  <c:v>-9999</c:v>
                </c:pt>
                <c:pt idx="5">
                  <c:v>-9999</c:v>
                </c:pt>
                <c:pt idx="6">
                  <c:v>-9999</c:v>
                </c:pt>
                <c:pt idx="7">
                  <c:v>-9999</c:v>
                </c:pt>
                <c:pt idx="8">
                  <c:v>-9999</c:v>
                </c:pt>
                <c:pt idx="9">
                  <c:v>0.14509062943786713</c:v>
                </c:pt>
                <c:pt idx="10">
                  <c:v>-9999</c:v>
                </c:pt>
                <c:pt idx="11">
                  <c:v>-9999</c:v>
                </c:pt>
                <c:pt idx="12">
                  <c:v>-9999</c:v>
                </c:pt>
                <c:pt idx="13">
                  <c:v>-9999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4D-4B0E-B376-38ACB8BD3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302608"/>
        <c:axId val="299305328"/>
      </c:scatterChart>
      <c:valAx>
        <c:axId val="29930260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Dosis de fertilizante (kg/ha)</a:t>
                </a:r>
              </a:p>
            </c:rich>
          </c:tx>
          <c:layout>
            <c:manualLayout>
              <c:xMode val="edge"/>
              <c:yMode val="edge"/>
              <c:x val="0.35670689528294947"/>
              <c:y val="0.91801570929095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5328"/>
        <c:crosses val="autoZero"/>
        <c:crossBetween val="midCat"/>
      </c:valAx>
      <c:valAx>
        <c:axId val="29930532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Costo (US$/kg 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2608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9763520175994101"/>
          <c:y val="7.6325852526861106E-3"/>
          <c:w val="0.67295303353417668"/>
          <c:h val="0.1725859823077671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152315637964609"/>
          <c:y val="5.0925925925925923E-2"/>
          <c:w val="0.79557361781390235"/>
          <c:h val="0.80000801983085446"/>
        </c:manualLayout>
      </c:layout>
      <c:lineChart>
        <c:grouping val="standard"/>
        <c:varyColors val="0"/>
        <c:ser>
          <c:idx val="2"/>
          <c:order val="0"/>
          <c:tx>
            <c:v>Precio fertilizante</c:v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'Ej. Analisis sensibilidad'!$A$3:$A$5</c:f>
              <c:numCache>
                <c:formatCode>0%</c:formatCode>
                <c:ptCount val="3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</c:numCache>
            </c:numRef>
          </c:cat>
          <c:val>
            <c:numRef>
              <c:f>'Ej. Analisis sensibilidad'!$I$3:$I$5</c:f>
              <c:numCache>
                <c:formatCode>0</c:formatCode>
                <c:ptCount val="3"/>
                <c:pt idx="0">
                  <c:v>158</c:v>
                </c:pt>
                <c:pt idx="1">
                  <c:v>139.97999999999999</c:v>
                </c:pt>
                <c:pt idx="2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8-4046-85D6-73545EE71585}"/>
            </c:ext>
          </c:extLst>
        </c:ser>
        <c:ser>
          <c:idx val="3"/>
          <c:order val="1"/>
          <c:tx>
            <c:v>Tasa de Interes</c:v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'Ej. Analisis sensibilidad'!$A$3:$A$5</c:f>
              <c:numCache>
                <c:formatCode>0%</c:formatCode>
                <c:ptCount val="3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</c:numCache>
            </c:numRef>
          </c:cat>
          <c:val>
            <c:numRef>
              <c:f>'Ej. Analisis sensibilidad'!$I$18:$I$20</c:f>
              <c:numCache>
                <c:formatCode>0</c:formatCode>
                <c:ptCount val="3"/>
                <c:pt idx="0">
                  <c:v>140.83000000000001</c:v>
                </c:pt>
                <c:pt idx="1">
                  <c:v>139.97999999999999</c:v>
                </c:pt>
                <c:pt idx="2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8-4046-85D6-73545EE71585}"/>
            </c:ext>
          </c:extLst>
        </c:ser>
        <c:ser>
          <c:idx val="0"/>
          <c:order val="2"/>
          <c:tx>
            <c:v>Eficiencia de cosecha</c:v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'Ej. Analisis sensibilidad'!$A$3:$A$5</c:f>
              <c:numCache>
                <c:formatCode>0%</c:formatCode>
                <c:ptCount val="3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</c:numCache>
            </c:numRef>
          </c:cat>
          <c:val>
            <c:numRef>
              <c:f>'Ej. Analisis sensibilidad'!$I$7:$I$9</c:f>
              <c:numCache>
                <c:formatCode>0</c:formatCode>
                <c:ptCount val="3"/>
                <c:pt idx="0">
                  <c:v>94</c:v>
                </c:pt>
                <c:pt idx="1">
                  <c:v>139.97999999999999</c:v>
                </c:pt>
                <c:pt idx="2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8-4046-85D6-73545EE71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304784"/>
        <c:axId val="299308048"/>
      </c:lineChart>
      <c:catAx>
        <c:axId val="299304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Cambio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8048"/>
        <c:crosses val="autoZero"/>
        <c:auto val="1"/>
        <c:lblAlgn val="ctr"/>
        <c:lblOffset val="100"/>
        <c:noMultiLvlLbl val="0"/>
      </c:catAx>
      <c:valAx>
        <c:axId val="29930804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Ingreso neto (U$S/ha)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04784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4967640335280664"/>
          <c:y val="0.42766039661708954"/>
          <c:w val="0.5651406316145966"/>
          <c:h val="0.29058763487897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20</xdr:row>
      <xdr:rowOff>19050</xdr:rowOff>
    </xdr:from>
    <xdr:to>
      <xdr:col>6</xdr:col>
      <xdr:colOff>419100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31</xdr:row>
      <xdr:rowOff>123825</xdr:rowOff>
    </xdr:from>
    <xdr:to>
      <xdr:col>6</xdr:col>
      <xdr:colOff>428625</xdr:colOff>
      <xdr:row>44</xdr:row>
      <xdr:rowOff>190500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515DAE13-F76F-4184-A675-CF5EDFBF2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3</xdr:row>
      <xdr:rowOff>23812</xdr:rowOff>
    </xdr:from>
    <xdr:to>
      <xdr:col>16</xdr:col>
      <xdr:colOff>342899</xdr:colOff>
      <xdr:row>18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123825</xdr:rowOff>
    </xdr:from>
    <xdr:to>
      <xdr:col>3</xdr:col>
      <xdr:colOff>295796</xdr:colOff>
      <xdr:row>6</xdr:row>
      <xdr:rowOff>0</xdr:rowOff>
    </xdr:to>
    <xdr:pic>
      <xdr:nvPicPr>
        <xdr:cNvPr id="2" name="Picture 1" descr="Image result for CRE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819150" y="314325"/>
          <a:ext cx="130544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485775</xdr:colOff>
      <xdr:row>10</xdr:row>
      <xdr:rowOff>152400</xdr:rowOff>
    </xdr:from>
    <xdr:to>
      <xdr:col>9</xdr:col>
      <xdr:colOff>447675</xdr:colOff>
      <xdr:row>12</xdr:row>
      <xdr:rowOff>157304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2975" y="2057400"/>
          <a:ext cx="1181100" cy="385904"/>
        </a:xfrm>
        <a:prstGeom prst="rect">
          <a:avLst/>
        </a:prstGeom>
      </xdr:spPr>
    </xdr:pic>
    <xdr:clientData/>
  </xdr:twoCellAnchor>
  <xdr:twoCellAnchor editAs="oneCell">
    <xdr:from>
      <xdr:col>8</xdr:col>
      <xdr:colOff>4826</xdr:colOff>
      <xdr:row>8</xdr:row>
      <xdr:rowOff>9525</xdr:rowOff>
    </xdr:from>
    <xdr:to>
      <xdr:col>9</xdr:col>
      <xdr:colOff>190498</xdr:colOff>
      <xdr:row>10</xdr:row>
      <xdr:rowOff>133350</xdr:rowOff>
    </xdr:to>
    <xdr:pic>
      <xdr:nvPicPr>
        <xdr:cNvPr id="4" name="Picture 3" descr="Image result for CRE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4881626" y="1533525"/>
          <a:ext cx="795272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A6" zoomScale="85" zoomScaleNormal="85" workbookViewId="0">
      <selection activeCell="E18" sqref="E18"/>
    </sheetView>
  </sheetViews>
  <sheetFormatPr baseColWidth="10" defaultColWidth="9.109375" defaultRowHeight="14.4" x14ac:dyDescent="0.3"/>
  <cols>
    <col min="1" max="1" width="5" customWidth="1"/>
    <col min="2" max="2" width="8.44140625" customWidth="1"/>
    <col min="3" max="3" width="7" customWidth="1"/>
    <col min="4" max="4" width="23.88671875" bestFit="1" customWidth="1"/>
    <col min="5" max="5" width="12.44140625" bestFit="1" customWidth="1"/>
    <col min="6" max="6" width="6.5546875" customWidth="1"/>
    <col min="7" max="7" width="6.88671875" customWidth="1"/>
    <col min="10" max="10" width="23.6640625" bestFit="1" customWidth="1"/>
    <col min="11" max="11" width="9.5546875" customWidth="1"/>
    <col min="12" max="12" width="7.33203125" bestFit="1" customWidth="1"/>
  </cols>
  <sheetData>
    <row r="1" spans="1:1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1" x14ac:dyDescent="0.4">
      <c r="A2" s="10"/>
      <c r="B2" s="10"/>
      <c r="C2" s="22" t="s">
        <v>63</v>
      </c>
      <c r="D2" s="10"/>
      <c r="E2" s="10"/>
      <c r="F2" s="10"/>
      <c r="G2" s="10"/>
      <c r="H2" s="10"/>
      <c r="I2" s="10"/>
      <c r="J2" s="10"/>
      <c r="L2" s="10"/>
      <c r="M2" s="10"/>
      <c r="N2" s="10"/>
      <c r="O2" s="10"/>
      <c r="P2" s="10"/>
    </row>
    <row r="3" spans="1:16" x14ac:dyDescent="0.3">
      <c r="A3" s="10"/>
      <c r="B3" s="10"/>
      <c r="C3" s="42" t="s">
        <v>62</v>
      </c>
      <c r="D3" s="43"/>
      <c r="E3" s="43"/>
      <c r="F3" s="43"/>
      <c r="G3" s="43"/>
      <c r="H3" s="43"/>
      <c r="I3" s="43"/>
      <c r="J3" s="43"/>
      <c r="K3" s="10"/>
      <c r="L3" s="10"/>
      <c r="M3" s="10"/>
      <c r="N3" s="10"/>
      <c r="O3" s="10"/>
      <c r="P3" s="10"/>
    </row>
    <row r="4" spans="1:16" x14ac:dyDescent="0.3">
      <c r="A4" s="10"/>
      <c r="B4" s="10"/>
      <c r="C4" s="43"/>
      <c r="D4" s="43"/>
      <c r="E4" s="43"/>
      <c r="F4" s="43"/>
      <c r="G4" s="43"/>
      <c r="H4" s="43"/>
      <c r="I4" s="43"/>
      <c r="J4" s="43"/>
      <c r="K4" s="10"/>
      <c r="L4" s="10"/>
      <c r="M4" s="10"/>
      <c r="N4" s="10"/>
      <c r="O4" s="10"/>
      <c r="P4" s="10"/>
    </row>
    <row r="5" spans="1:16" x14ac:dyDescent="0.3">
      <c r="A5" s="10"/>
      <c r="B5" s="10"/>
      <c r="C5" s="43"/>
      <c r="D5" s="43"/>
      <c r="E5" s="43"/>
      <c r="F5" s="43"/>
      <c r="G5" s="43"/>
      <c r="H5" s="43"/>
      <c r="I5" s="43"/>
      <c r="J5" s="43"/>
      <c r="K5" s="10"/>
      <c r="L5" s="10"/>
      <c r="M5" s="10"/>
      <c r="N5" s="10"/>
      <c r="O5" s="10"/>
      <c r="P5" s="10"/>
    </row>
    <row r="6" spans="1:16" x14ac:dyDescent="0.3">
      <c r="A6" s="10"/>
      <c r="B6" s="10"/>
      <c r="C6" s="43"/>
      <c r="D6" s="43"/>
      <c r="E6" s="43"/>
      <c r="F6" s="43"/>
      <c r="G6" s="43"/>
      <c r="H6" s="43"/>
      <c r="I6" s="43"/>
      <c r="J6" s="43"/>
      <c r="K6" s="10"/>
      <c r="L6" s="10"/>
      <c r="M6" s="10"/>
      <c r="N6" s="10"/>
      <c r="O6" s="10"/>
      <c r="P6" s="10"/>
    </row>
    <row r="7" spans="1:16" ht="15" thickBo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3">
      <c r="A8" s="10"/>
      <c r="B8" s="23"/>
      <c r="C8" s="24"/>
      <c r="D8" s="24"/>
      <c r="E8" s="24"/>
      <c r="F8" s="24"/>
      <c r="G8" s="25"/>
      <c r="H8" s="10"/>
      <c r="I8" s="23"/>
      <c r="J8" s="24"/>
      <c r="K8" s="24"/>
      <c r="L8" s="24"/>
      <c r="M8" s="24"/>
      <c r="N8" s="25"/>
      <c r="O8" s="10"/>
      <c r="P8" s="10"/>
    </row>
    <row r="9" spans="1:16" x14ac:dyDescent="0.3">
      <c r="A9" s="10"/>
      <c r="B9" s="26"/>
      <c r="C9" s="27" t="s">
        <v>48</v>
      </c>
      <c r="D9" s="10"/>
      <c r="E9" s="10"/>
      <c r="F9" s="10"/>
      <c r="G9" s="28"/>
      <c r="H9" s="10"/>
      <c r="I9" s="26"/>
      <c r="J9" s="27" t="s">
        <v>31</v>
      </c>
      <c r="K9" s="10"/>
      <c r="L9" s="10"/>
      <c r="M9" s="10"/>
      <c r="N9" s="28"/>
      <c r="O9" s="10"/>
      <c r="P9" s="10"/>
    </row>
    <row r="10" spans="1:16" x14ac:dyDescent="0.3">
      <c r="A10" s="10"/>
      <c r="B10" s="26"/>
      <c r="C10" s="10"/>
      <c r="D10" s="10"/>
      <c r="E10" s="10"/>
      <c r="F10" s="10"/>
      <c r="G10" s="28"/>
      <c r="H10" s="10"/>
      <c r="I10" s="26"/>
      <c r="J10" s="10"/>
      <c r="K10" s="10"/>
      <c r="L10" s="10"/>
      <c r="M10" s="10"/>
      <c r="N10" s="28"/>
      <c r="O10" s="10"/>
      <c r="P10" s="10"/>
    </row>
    <row r="11" spans="1:16" x14ac:dyDescent="0.3">
      <c r="A11" s="10"/>
      <c r="B11" s="26"/>
      <c r="C11" s="10" t="s">
        <v>54</v>
      </c>
      <c r="D11" s="10"/>
      <c r="E11" s="36" t="s">
        <v>52</v>
      </c>
      <c r="F11" s="10"/>
      <c r="G11" s="28"/>
      <c r="H11" s="10"/>
      <c r="I11" s="26"/>
      <c r="J11" s="21" t="s">
        <v>5</v>
      </c>
      <c r="K11" s="10"/>
      <c r="L11" s="10"/>
      <c r="M11" s="10"/>
      <c r="N11" s="28"/>
      <c r="O11" s="10"/>
      <c r="P11" s="10"/>
    </row>
    <row r="12" spans="1:16" x14ac:dyDescent="0.3">
      <c r="A12" s="10"/>
      <c r="B12" s="26"/>
      <c r="C12" s="10" t="s">
        <v>84</v>
      </c>
      <c r="D12" s="10"/>
      <c r="E12" s="36" t="s">
        <v>81</v>
      </c>
      <c r="F12" s="10"/>
      <c r="G12" s="28"/>
      <c r="H12" s="10"/>
      <c r="I12" s="26"/>
      <c r="J12" s="10" t="s">
        <v>6</v>
      </c>
      <c r="K12" s="36">
        <v>680</v>
      </c>
      <c r="L12" s="10" t="s">
        <v>35</v>
      </c>
      <c r="M12" s="10"/>
      <c r="N12" s="28"/>
      <c r="O12" s="10"/>
      <c r="P12" s="10"/>
    </row>
    <row r="13" spans="1:16" x14ac:dyDescent="0.3">
      <c r="A13" s="10"/>
      <c r="B13" s="26"/>
      <c r="C13" s="10" t="s">
        <v>5</v>
      </c>
      <c r="D13" s="10"/>
      <c r="E13" s="36" t="s">
        <v>6</v>
      </c>
      <c r="F13" s="10"/>
      <c r="G13" s="28"/>
      <c r="H13" s="10"/>
      <c r="I13" s="26"/>
      <c r="J13" s="10" t="s">
        <v>7</v>
      </c>
      <c r="K13" s="36">
        <v>1000</v>
      </c>
      <c r="L13" s="10" t="s">
        <v>35</v>
      </c>
      <c r="M13" s="10"/>
      <c r="N13" s="28"/>
      <c r="O13" s="10"/>
      <c r="P13" s="10"/>
    </row>
    <row r="14" spans="1:16" x14ac:dyDescent="0.3">
      <c r="A14" s="10"/>
      <c r="B14" s="26"/>
      <c r="C14" s="10" t="s">
        <v>33</v>
      </c>
      <c r="D14" s="10"/>
      <c r="E14" s="36" t="s">
        <v>27</v>
      </c>
      <c r="F14" s="10"/>
      <c r="G14" s="28"/>
      <c r="H14" s="10"/>
      <c r="I14" s="26"/>
      <c r="J14" s="10" t="s">
        <v>8</v>
      </c>
      <c r="K14" s="36">
        <v>1000</v>
      </c>
      <c r="L14" s="10" t="s">
        <v>35</v>
      </c>
      <c r="M14" s="10"/>
      <c r="N14" s="28"/>
      <c r="O14" s="10"/>
      <c r="P14" s="10"/>
    </row>
    <row r="15" spans="1:16" x14ac:dyDescent="0.3">
      <c r="A15" s="10"/>
      <c r="B15" s="26"/>
      <c r="C15" s="10" t="s">
        <v>101</v>
      </c>
      <c r="D15" s="10"/>
      <c r="E15" s="36" t="s">
        <v>32</v>
      </c>
      <c r="F15" s="10"/>
      <c r="G15" s="28"/>
      <c r="H15" s="10"/>
      <c r="I15" s="26"/>
      <c r="J15" s="10" t="s">
        <v>10</v>
      </c>
      <c r="K15" s="36">
        <v>1000</v>
      </c>
      <c r="L15" s="10" t="s">
        <v>35</v>
      </c>
      <c r="M15" s="10"/>
      <c r="N15" s="28"/>
      <c r="O15" s="10"/>
      <c r="P15" s="10"/>
    </row>
    <row r="16" spans="1:16" x14ac:dyDescent="0.3">
      <c r="A16" s="10"/>
      <c r="B16" s="26"/>
      <c r="C16" s="10"/>
      <c r="D16" s="10"/>
      <c r="E16" s="45"/>
      <c r="F16" s="10"/>
      <c r="G16" s="28"/>
      <c r="H16" s="10"/>
      <c r="I16" s="26"/>
      <c r="J16" s="10" t="s">
        <v>34</v>
      </c>
      <c r="K16" s="38">
        <v>1</v>
      </c>
      <c r="L16" s="10" t="s">
        <v>35</v>
      </c>
      <c r="M16" s="36">
        <v>0.57499999999999996</v>
      </c>
      <c r="N16" s="28" t="s">
        <v>79</v>
      </c>
      <c r="O16" s="10"/>
      <c r="P16" s="10"/>
    </row>
    <row r="17" spans="1:16" x14ac:dyDescent="0.3">
      <c r="A17" s="10"/>
      <c r="B17" s="26"/>
      <c r="C17" s="10" t="s">
        <v>99</v>
      </c>
      <c r="D17" s="10"/>
      <c r="E17" s="38">
        <v>1</v>
      </c>
      <c r="F17" s="10" t="s">
        <v>98</v>
      </c>
      <c r="G17" s="28"/>
      <c r="H17" s="10"/>
      <c r="I17" s="26"/>
      <c r="J17" s="21" t="s">
        <v>26</v>
      </c>
      <c r="K17" s="36">
        <v>5</v>
      </c>
      <c r="L17" s="10" t="s">
        <v>37</v>
      </c>
      <c r="M17" s="10"/>
      <c r="N17" s="28"/>
      <c r="O17" s="10"/>
      <c r="P17" s="10"/>
    </row>
    <row r="18" spans="1:16" x14ac:dyDescent="0.3">
      <c r="A18" s="10"/>
      <c r="B18" s="26"/>
      <c r="C18" s="10" t="s">
        <v>3</v>
      </c>
      <c r="D18" s="10"/>
      <c r="E18" s="36">
        <v>0.8</v>
      </c>
      <c r="F18" s="10"/>
      <c r="G18" s="28"/>
      <c r="H18" s="10"/>
      <c r="I18" s="26"/>
      <c r="J18" s="21"/>
      <c r="K18" s="36"/>
      <c r="L18" s="10"/>
      <c r="M18" s="10"/>
      <c r="N18" s="28"/>
      <c r="O18" s="10"/>
      <c r="P18" s="10"/>
    </row>
    <row r="19" spans="1:16" ht="15" thickBot="1" x14ac:dyDescent="0.35">
      <c r="A19" s="10"/>
      <c r="B19" s="29"/>
      <c r="C19" s="30"/>
      <c r="D19" s="30"/>
      <c r="E19" s="30"/>
      <c r="F19" s="30"/>
      <c r="G19" s="31"/>
      <c r="H19" s="10"/>
      <c r="I19" s="26"/>
      <c r="J19" s="21"/>
      <c r="K19" s="36"/>
      <c r="L19" s="10"/>
      <c r="M19" s="10"/>
      <c r="N19" s="28"/>
      <c r="O19" s="10"/>
      <c r="P19" s="10"/>
    </row>
    <row r="20" spans="1:16" ht="15" thickBot="1" x14ac:dyDescent="0.35">
      <c r="A20" s="10"/>
      <c r="B20" s="10"/>
      <c r="C20" s="10"/>
      <c r="D20" s="10"/>
      <c r="E20" s="10"/>
      <c r="F20" s="10"/>
      <c r="G20" s="10"/>
      <c r="H20" s="10"/>
      <c r="I20" s="26"/>
      <c r="J20" s="21" t="s">
        <v>25</v>
      </c>
      <c r="K20" s="36">
        <v>9</v>
      </c>
      <c r="L20" s="10" t="s">
        <v>36</v>
      </c>
      <c r="M20" s="10"/>
      <c r="N20" s="28"/>
      <c r="O20" s="10"/>
      <c r="P20" s="10"/>
    </row>
    <row r="21" spans="1:16" x14ac:dyDescent="0.3">
      <c r="A21" s="10"/>
      <c r="B21" s="23"/>
      <c r="C21" s="24"/>
      <c r="D21" s="24"/>
      <c r="E21" s="24"/>
      <c r="F21" s="24"/>
      <c r="G21" s="25"/>
      <c r="H21" s="10"/>
      <c r="I21" s="26"/>
      <c r="J21" s="10"/>
      <c r="K21" s="10"/>
      <c r="L21" s="10"/>
      <c r="M21" s="10"/>
      <c r="N21" s="28"/>
      <c r="O21" s="10"/>
      <c r="P21" s="10"/>
    </row>
    <row r="22" spans="1:16" x14ac:dyDescent="0.3">
      <c r="A22" s="10"/>
      <c r="B22" s="26"/>
      <c r="C22" s="27" t="s">
        <v>39</v>
      </c>
      <c r="D22" s="32"/>
      <c r="E22" s="10"/>
      <c r="F22" s="10"/>
      <c r="G22" s="28"/>
      <c r="H22" s="10"/>
      <c r="I22" s="26"/>
      <c r="J22" s="10"/>
      <c r="K22" s="10"/>
      <c r="L22" s="10"/>
      <c r="M22" s="10"/>
      <c r="N22" s="28"/>
      <c r="O22" s="10"/>
      <c r="P22" s="10"/>
    </row>
    <row r="23" spans="1:16" x14ac:dyDescent="0.3">
      <c r="A23" s="10"/>
      <c r="B23" s="26"/>
      <c r="C23" s="10"/>
      <c r="D23" s="10"/>
      <c r="E23" s="10"/>
      <c r="F23" s="10"/>
      <c r="G23" s="28"/>
      <c r="H23" s="10"/>
      <c r="I23" s="26"/>
      <c r="J23" s="10"/>
      <c r="K23" s="10"/>
      <c r="L23" s="10"/>
      <c r="M23" s="10"/>
      <c r="N23" s="28"/>
      <c r="O23" s="10"/>
      <c r="P23" s="10"/>
    </row>
    <row r="24" spans="1:16" x14ac:dyDescent="0.3">
      <c r="A24" s="10"/>
      <c r="B24" s="26"/>
      <c r="C24" s="10"/>
      <c r="D24" s="10"/>
      <c r="E24" s="10"/>
      <c r="F24" s="10"/>
      <c r="G24" s="28"/>
      <c r="H24" s="10"/>
      <c r="I24" s="26"/>
      <c r="J24" s="10"/>
      <c r="K24" s="10"/>
      <c r="L24" s="10"/>
      <c r="M24" s="10"/>
      <c r="N24" s="28"/>
      <c r="O24" s="10"/>
      <c r="P24" s="10"/>
    </row>
    <row r="25" spans="1:16" x14ac:dyDescent="0.3">
      <c r="A25" s="10"/>
      <c r="B25" s="26"/>
      <c r="C25" s="10"/>
      <c r="D25" s="10"/>
      <c r="E25" s="10"/>
      <c r="F25" s="10"/>
      <c r="G25" s="28"/>
      <c r="H25" s="10"/>
      <c r="I25" s="26"/>
      <c r="J25" s="10" t="s">
        <v>100</v>
      </c>
      <c r="K25" s="36">
        <v>0.41</v>
      </c>
      <c r="L25" s="10" t="s">
        <v>107</v>
      </c>
      <c r="M25" s="10"/>
      <c r="N25" s="28"/>
      <c r="O25" s="10"/>
      <c r="P25" s="10"/>
    </row>
    <row r="26" spans="1:16" x14ac:dyDescent="0.3">
      <c r="A26" s="10"/>
      <c r="B26" s="26"/>
      <c r="C26" s="10"/>
      <c r="D26" s="10"/>
      <c r="E26" s="10"/>
      <c r="F26" s="10"/>
      <c r="G26" s="28"/>
      <c r="H26" s="10"/>
      <c r="I26" s="26"/>
      <c r="J26" s="10" t="s">
        <v>71</v>
      </c>
      <c r="K26" s="36">
        <f>150/1170</f>
        <v>0.12820512820512819</v>
      </c>
      <c r="L26" s="10" t="s">
        <v>72</v>
      </c>
      <c r="M26" s="10"/>
      <c r="N26" s="28"/>
      <c r="O26" s="10"/>
      <c r="P26" s="10"/>
    </row>
    <row r="27" spans="1:16" ht="32.25" customHeight="1" thickBot="1" x14ac:dyDescent="0.35">
      <c r="A27" s="10"/>
      <c r="B27" s="26"/>
      <c r="C27" s="10"/>
      <c r="D27" s="10"/>
      <c r="E27" s="10"/>
      <c r="F27" s="10"/>
      <c r="G27" s="28"/>
      <c r="H27" s="10"/>
      <c r="I27" s="29"/>
      <c r="J27" s="30"/>
      <c r="K27" s="30"/>
      <c r="L27" s="30"/>
      <c r="M27" s="30"/>
      <c r="N27" s="31"/>
      <c r="O27" s="10"/>
      <c r="P27" s="10"/>
    </row>
    <row r="28" spans="1:16" x14ac:dyDescent="0.3">
      <c r="A28" s="10"/>
      <c r="B28" s="26"/>
      <c r="C28" s="10"/>
      <c r="D28" s="10"/>
      <c r="E28" s="10"/>
      <c r="F28" s="10"/>
      <c r="G28" s="28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3">
      <c r="A29" s="10"/>
      <c r="B29" s="26"/>
      <c r="C29" s="10"/>
      <c r="D29" s="10"/>
      <c r="E29" s="10"/>
      <c r="F29" s="10"/>
      <c r="G29" s="28"/>
      <c r="H29" s="10"/>
      <c r="I29" s="10"/>
      <c r="J29" s="10"/>
      <c r="K29" s="34"/>
      <c r="L29" s="34"/>
      <c r="M29" s="34"/>
      <c r="N29" s="34"/>
      <c r="O29" s="34"/>
      <c r="P29" s="10"/>
    </row>
    <row r="30" spans="1:16" x14ac:dyDescent="0.3">
      <c r="A30" s="10"/>
      <c r="B30" s="26"/>
      <c r="C30" s="10"/>
      <c r="D30" s="10"/>
      <c r="E30" s="10"/>
      <c r="F30" s="10"/>
      <c r="G30" s="28"/>
      <c r="H30" s="10"/>
      <c r="I30" s="33" t="s">
        <v>41</v>
      </c>
      <c r="J30" s="10"/>
      <c r="K30" s="10"/>
      <c r="L30" s="10"/>
      <c r="M30" s="10"/>
      <c r="N30" s="10"/>
      <c r="O30" s="10"/>
      <c r="P30" s="10"/>
    </row>
    <row r="31" spans="1:16" ht="30" customHeight="1" x14ac:dyDescent="0.3">
      <c r="A31" s="10"/>
      <c r="B31" s="26"/>
      <c r="C31" s="10"/>
      <c r="D31" s="10"/>
      <c r="E31" s="10"/>
      <c r="F31" s="10"/>
      <c r="G31" s="28"/>
      <c r="H31" s="10"/>
      <c r="I31" s="41" t="s">
        <v>95</v>
      </c>
      <c r="J31" s="41"/>
      <c r="K31" s="41"/>
      <c r="L31" s="41"/>
      <c r="M31" s="41"/>
      <c r="N31" s="41"/>
      <c r="O31" s="41"/>
      <c r="P31" s="41"/>
    </row>
    <row r="32" spans="1:16" x14ac:dyDescent="0.3">
      <c r="A32" s="10"/>
      <c r="B32" s="26"/>
      <c r="C32" s="10"/>
      <c r="D32" s="10"/>
      <c r="E32" s="10"/>
      <c r="F32" s="10"/>
      <c r="G32" s="28"/>
      <c r="H32" s="10"/>
      <c r="I32" s="33" t="s">
        <v>42</v>
      </c>
      <c r="J32" s="10"/>
      <c r="K32" s="10"/>
      <c r="L32" s="10"/>
      <c r="M32" s="10"/>
      <c r="N32" s="10"/>
      <c r="O32" s="10"/>
      <c r="P32" s="10"/>
    </row>
    <row r="33" spans="1:16" s="10" customFormat="1" x14ac:dyDescent="0.3">
      <c r="B33" s="26"/>
      <c r="G33" s="28"/>
      <c r="I33" s="39" t="s">
        <v>45</v>
      </c>
      <c r="J33" s="34"/>
    </row>
    <row r="34" spans="1:16" s="10" customFormat="1" x14ac:dyDescent="0.3">
      <c r="B34" s="26"/>
      <c r="G34" s="28"/>
      <c r="I34" s="33" t="s">
        <v>43</v>
      </c>
    </row>
    <row r="35" spans="1:16" s="10" customFormat="1" x14ac:dyDescent="0.3">
      <c r="B35" s="26"/>
      <c r="G35" s="28"/>
      <c r="I35" s="10" t="s">
        <v>50</v>
      </c>
      <c r="J35" s="34"/>
      <c r="L35" s="35"/>
    </row>
    <row r="36" spans="1:16" s="10" customFormat="1" x14ac:dyDescent="0.3">
      <c r="B36" s="26"/>
      <c r="G36" s="28"/>
      <c r="I36" s="33" t="s">
        <v>44</v>
      </c>
    </row>
    <row r="37" spans="1:16" x14ac:dyDescent="0.3">
      <c r="A37" s="10"/>
      <c r="B37" s="26"/>
      <c r="C37" s="10"/>
      <c r="D37" s="10"/>
      <c r="E37" s="10"/>
      <c r="F37" s="10"/>
      <c r="G37" s="28"/>
      <c r="H37" s="10"/>
      <c r="I37" s="10" t="s">
        <v>49</v>
      </c>
      <c r="J37" s="10"/>
      <c r="K37" s="10"/>
      <c r="L37" s="10"/>
      <c r="M37" s="10"/>
      <c r="N37" s="10"/>
      <c r="O37" s="10"/>
      <c r="P37" s="10"/>
    </row>
    <row r="38" spans="1:16" x14ac:dyDescent="0.3">
      <c r="A38" s="10"/>
      <c r="B38" s="26"/>
      <c r="C38" s="10"/>
      <c r="D38" s="10"/>
      <c r="E38" s="10"/>
      <c r="F38" s="10"/>
      <c r="G38" s="28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3">
      <c r="A39" s="10"/>
      <c r="B39" s="26"/>
      <c r="C39" s="10"/>
      <c r="D39" s="10"/>
      <c r="E39" s="10"/>
      <c r="F39" s="10"/>
      <c r="G39" s="28"/>
      <c r="H39" s="10"/>
      <c r="I39" s="33" t="s">
        <v>71</v>
      </c>
      <c r="J39" s="10"/>
      <c r="K39" s="10"/>
      <c r="L39" s="10"/>
      <c r="M39" s="10"/>
      <c r="N39" s="10"/>
      <c r="O39" s="10"/>
      <c r="P39" s="10"/>
    </row>
    <row r="40" spans="1:16" x14ac:dyDescent="0.3">
      <c r="A40" s="10"/>
      <c r="B40" s="26"/>
      <c r="C40" s="10"/>
      <c r="D40" s="10"/>
      <c r="E40" s="10"/>
      <c r="F40" s="10"/>
      <c r="G40" s="28"/>
      <c r="H40" s="10"/>
      <c r="I40" s="10" t="s">
        <v>75</v>
      </c>
      <c r="J40" s="10"/>
      <c r="K40" s="10"/>
      <c r="L40" s="10"/>
      <c r="M40" s="10"/>
      <c r="N40" s="10"/>
      <c r="O40" s="10"/>
      <c r="P40" s="10"/>
    </row>
    <row r="41" spans="1:16" x14ac:dyDescent="0.3">
      <c r="A41" s="10"/>
      <c r="B41" s="26"/>
      <c r="C41" s="10"/>
      <c r="D41" s="10"/>
      <c r="E41" s="10"/>
      <c r="F41" s="10"/>
      <c r="G41" s="28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10"/>
      <c r="B42" s="26"/>
      <c r="C42" s="10"/>
      <c r="D42" s="10"/>
      <c r="E42" s="10"/>
      <c r="F42" s="10"/>
      <c r="G42" s="28"/>
      <c r="H42" s="10"/>
      <c r="I42" s="10" t="s">
        <v>96</v>
      </c>
      <c r="J42" s="10"/>
      <c r="K42" s="10"/>
      <c r="L42" s="10"/>
      <c r="M42" s="10"/>
      <c r="N42" s="10"/>
      <c r="O42" s="10"/>
      <c r="P42" s="10"/>
    </row>
    <row r="43" spans="1:16" x14ac:dyDescent="0.3">
      <c r="A43" s="10"/>
      <c r="B43" s="26"/>
      <c r="C43" s="10"/>
      <c r="D43" s="10"/>
      <c r="E43" s="10"/>
      <c r="F43" s="10"/>
      <c r="G43" s="28"/>
      <c r="H43" s="10"/>
      <c r="I43" s="10" t="s">
        <v>97</v>
      </c>
      <c r="J43" s="10"/>
      <c r="K43" s="10"/>
      <c r="L43" s="10"/>
      <c r="M43" s="10"/>
      <c r="N43" s="10"/>
      <c r="O43" s="10"/>
      <c r="P43" s="10"/>
    </row>
    <row r="44" spans="1:16" x14ac:dyDescent="0.3">
      <c r="A44" s="10"/>
      <c r="B44" s="26"/>
      <c r="C44" s="10"/>
      <c r="D44" s="10"/>
      <c r="E44" s="10"/>
      <c r="F44" s="10"/>
      <c r="G44" s="28"/>
      <c r="H44" s="10"/>
      <c r="I44" s="10"/>
      <c r="J44" s="10"/>
      <c r="K44" s="10"/>
      <c r="L44" s="10"/>
      <c r="M44" s="10"/>
      <c r="N44" s="10"/>
      <c r="O44" s="10"/>
      <c r="P44" s="37"/>
    </row>
    <row r="45" spans="1:16" ht="15" thickBot="1" x14ac:dyDescent="0.35">
      <c r="A45" s="10"/>
      <c r="B45" s="29"/>
      <c r="C45" s="30"/>
      <c r="D45" s="30"/>
      <c r="E45" s="30"/>
      <c r="F45" s="30"/>
      <c r="G45" s="31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</sheetData>
  <sheetProtection algorithmName="SHA-512" hashValue="NieigU6FVEw300HmJjMVbsPYP6PpVyed4Nhx6SvoYcaa1N1FyNgrSCqNfaX5NxW3VwjzBIFzULwJ48NfllHpfA==" saltValue="IWKNxFWMnIEaSP6pQkxA1w==" spinCount="100000" sheet="1" selectLockedCells="1"/>
  <mergeCells count="2">
    <mergeCell ref="I31:P31"/>
    <mergeCell ref="C3:J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Oculta!$C$8:$C$12</xm:f>
          </x14:formula1>
          <xm:sqref>E13</xm:sqref>
        </x14:dataValidation>
        <x14:dataValidation type="list" allowBlank="1" showInputMessage="1" showErrorMessage="1" xr:uid="{00000000-0002-0000-0000-000001000000}">
          <x14:formula1>
            <xm:f>Oculta!$C$2:$E$2</xm:f>
          </x14:formula1>
          <xm:sqref>E14</xm:sqref>
        </x14:dataValidation>
        <x14:dataValidation type="list" allowBlank="1" showInputMessage="1" showErrorMessage="1" xr:uid="{00000000-0002-0000-0000-000002000000}">
          <x14:formula1>
            <xm:f>Oculta!$H$2:$J$2</xm:f>
          </x14:formula1>
          <xm:sqref>E11</xm:sqref>
        </x14:dataValidation>
        <x14:dataValidation type="list" allowBlank="1" showInputMessage="1" showErrorMessage="1" xr:uid="{00000000-0002-0000-0000-000003000000}">
          <x14:formula1>
            <xm:f>Oculta!$M$5:$N$5</xm:f>
          </x14:formula1>
          <xm:sqref>E15</xm:sqref>
        </x14:dataValidation>
        <x14:dataValidation type="list" allowBlank="1" showInputMessage="1" showErrorMessage="1" xr:uid="{00000000-0002-0000-0000-000004000000}">
          <x14:formula1>
            <xm:f>Oculta!M2:O2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topLeftCell="B4" workbookViewId="0">
      <selection activeCell="M3" sqref="M3"/>
    </sheetView>
  </sheetViews>
  <sheetFormatPr baseColWidth="10" defaultColWidth="9.109375" defaultRowHeight="14.4" x14ac:dyDescent="0.3"/>
  <cols>
    <col min="1" max="1" width="7" customWidth="1"/>
    <col min="2" max="2" width="19.88671875" customWidth="1"/>
    <col min="8" max="8" width="9.5546875" bestFit="1" customWidth="1"/>
    <col min="9" max="9" width="8.33203125" bestFit="1" customWidth="1"/>
    <col min="10" max="10" width="9.5546875" bestFit="1" customWidth="1"/>
    <col min="15" max="15" width="10" bestFit="1" customWidth="1"/>
  </cols>
  <sheetData>
    <row r="1" spans="2:19" x14ac:dyDescent="0.3">
      <c r="B1" s="11" t="s">
        <v>57</v>
      </c>
    </row>
    <row r="2" spans="2:19" x14ac:dyDescent="0.3">
      <c r="B2" t="s">
        <v>4</v>
      </c>
      <c r="C2" t="s">
        <v>24</v>
      </c>
      <c r="D2" t="s">
        <v>27</v>
      </c>
      <c r="E2" t="s">
        <v>11</v>
      </c>
      <c r="G2" t="s">
        <v>60</v>
      </c>
      <c r="H2" t="s">
        <v>51</v>
      </c>
      <c r="I2" t="s">
        <v>52</v>
      </c>
      <c r="J2" t="s">
        <v>53</v>
      </c>
      <c r="L2" t="s">
        <v>80</v>
      </c>
      <c r="M2" t="s">
        <v>81</v>
      </c>
      <c r="N2" t="s">
        <v>82</v>
      </c>
      <c r="O2" t="s">
        <v>83</v>
      </c>
    </row>
    <row r="3" spans="2:19" x14ac:dyDescent="0.3">
      <c r="C3">
        <f>IF(Carga!$E$14=Oculta!C2,1,0)</f>
        <v>0</v>
      </c>
      <c r="D3">
        <f>IF(Carga!$E$14=Oculta!D2,1,0)</f>
        <v>1</v>
      </c>
      <c r="E3">
        <f>IF(Carga!$E$14=Oculta!E2,1,0)</f>
        <v>0</v>
      </c>
      <c r="H3">
        <f>+IF(Carga!$E$11=H2,1,0)</f>
        <v>0</v>
      </c>
      <c r="I3">
        <f>+IF(Carga!$E$11=I2,1,0)</f>
        <v>1</v>
      </c>
      <c r="J3">
        <f>+IF(Carga!$E$11=J2,1,0)</f>
        <v>0</v>
      </c>
      <c r="M3">
        <f>IF(Carga!E12=Oculta!M2,1,0)</f>
        <v>1</v>
      </c>
      <c r="N3">
        <f>IF(Carga!E12=Oculta!N2,0.5,0)</f>
        <v>0</v>
      </c>
      <c r="O3">
        <f>IF(Carga!E12=Oculta!O2,1,0)</f>
        <v>0</v>
      </c>
      <c r="P3" s="40">
        <f>+SUM(M3:O3)</f>
        <v>1</v>
      </c>
    </row>
    <row r="4" spans="2:19" x14ac:dyDescent="0.3">
      <c r="B4" t="s">
        <v>59</v>
      </c>
      <c r="C4">
        <f>+Carga!K17</f>
        <v>5</v>
      </c>
      <c r="H4">
        <v>1</v>
      </c>
      <c r="I4">
        <v>1</v>
      </c>
      <c r="J4">
        <v>0.52</v>
      </c>
    </row>
    <row r="5" spans="2:19" x14ac:dyDescent="0.3">
      <c r="B5" t="s">
        <v>3</v>
      </c>
      <c r="D5">
        <f>+Carga!E18</f>
        <v>0.8</v>
      </c>
      <c r="H5">
        <f>+H4*H3</f>
        <v>0</v>
      </c>
      <c r="I5">
        <f>+I4*I3</f>
        <v>1</v>
      </c>
      <c r="J5">
        <f>+J4*J3</f>
        <v>0</v>
      </c>
      <c r="L5" t="s">
        <v>102</v>
      </c>
      <c r="M5" t="s">
        <v>103</v>
      </c>
      <c r="N5" t="s">
        <v>32</v>
      </c>
    </row>
    <row r="6" spans="2:19" x14ac:dyDescent="0.3">
      <c r="B6" t="s">
        <v>106</v>
      </c>
      <c r="D6">
        <f>+Carga!K25</f>
        <v>0.41</v>
      </c>
      <c r="M6">
        <f>+IF(Carga!E15=Oculta!M5,1,0)</f>
        <v>0</v>
      </c>
      <c r="N6">
        <f>+IF(Carga!E15=Oculta!N5,1,0)</f>
        <v>1</v>
      </c>
    </row>
    <row r="7" spans="2:19" x14ac:dyDescent="0.3">
      <c r="D7" t="s">
        <v>9</v>
      </c>
      <c r="E7" t="s">
        <v>16</v>
      </c>
      <c r="F7" t="s">
        <v>40</v>
      </c>
      <c r="G7" t="s">
        <v>12</v>
      </c>
      <c r="H7" t="s">
        <v>2</v>
      </c>
      <c r="I7" t="s">
        <v>28</v>
      </c>
      <c r="J7" t="s">
        <v>29</v>
      </c>
      <c r="L7" t="s">
        <v>104</v>
      </c>
      <c r="M7">
        <f>1/Carga!E17</f>
        <v>1</v>
      </c>
    </row>
    <row r="8" spans="2:19" x14ac:dyDescent="0.3">
      <c r="B8" t="s">
        <v>5</v>
      </c>
      <c r="C8" t="s">
        <v>6</v>
      </c>
      <c r="D8">
        <f>+Carga!K12</f>
        <v>680</v>
      </c>
      <c r="E8">
        <f>IF(C8=Carga!$E$13,1,0)</f>
        <v>1</v>
      </c>
      <c r="F8">
        <v>0.46</v>
      </c>
      <c r="G8" s="6">
        <f>+D8/0.46/1000</f>
        <v>1.4782608695652173</v>
      </c>
      <c r="H8" s="7">
        <v>1</v>
      </c>
      <c r="I8" s="8">
        <v>1</v>
      </c>
      <c r="J8" s="8">
        <v>1</v>
      </c>
    </row>
    <row r="9" spans="2:19" x14ac:dyDescent="0.3">
      <c r="C9" t="s">
        <v>7</v>
      </c>
      <c r="D9">
        <f>+Carga!K13</f>
        <v>1000</v>
      </c>
      <c r="E9">
        <f>IF(C9=Carga!$E$13,1,0)</f>
        <v>0</v>
      </c>
      <c r="F9">
        <v>0.32</v>
      </c>
      <c r="G9" s="6">
        <f>+D9/0.32/1000</f>
        <v>3.125</v>
      </c>
      <c r="H9" s="7">
        <f>+IF(C3="si",1.035,1.015)</f>
        <v>1.0149999999999999</v>
      </c>
      <c r="I9" s="7">
        <v>0.995</v>
      </c>
      <c r="J9" s="7">
        <v>1.0149999999999999</v>
      </c>
      <c r="L9" t="s">
        <v>14</v>
      </c>
    </row>
    <row r="10" spans="2:19" x14ac:dyDescent="0.3">
      <c r="C10" t="s">
        <v>8</v>
      </c>
      <c r="D10">
        <f>+Carga!K14</f>
        <v>1000</v>
      </c>
      <c r="E10">
        <f>IF(C10=Carga!$E$13,1,0)</f>
        <v>0</v>
      </c>
      <c r="F10">
        <v>0.27</v>
      </c>
      <c r="G10" s="6">
        <f>+D10/0.27/1000</f>
        <v>3.7037037037037033</v>
      </c>
      <c r="H10" s="7">
        <v>1.1200000000000001</v>
      </c>
      <c r="I10" s="7">
        <v>1.1200000000000001</v>
      </c>
      <c r="J10" s="7">
        <v>1.1200000000000001</v>
      </c>
      <c r="L10" t="s">
        <v>15</v>
      </c>
    </row>
    <row r="11" spans="2:19" x14ac:dyDescent="0.3">
      <c r="C11" t="s">
        <v>10</v>
      </c>
      <c r="D11">
        <f>+Carga!K15</f>
        <v>1000</v>
      </c>
      <c r="E11">
        <f>IF(C11=Carga!$E$13,1,0)</f>
        <v>0</v>
      </c>
      <c r="F11">
        <v>0.28000000000000003</v>
      </c>
      <c r="G11" s="6">
        <f>+D11/0.28/1000</f>
        <v>3.5714285714285712</v>
      </c>
      <c r="H11" s="7">
        <v>1.04</v>
      </c>
      <c r="I11" s="7">
        <v>1.04</v>
      </c>
      <c r="J11" s="7">
        <v>1.04</v>
      </c>
      <c r="L11" s="2">
        <v>0.04</v>
      </c>
    </row>
    <row r="12" spans="2:19" x14ac:dyDescent="0.3">
      <c r="C12" t="s">
        <v>34</v>
      </c>
      <c r="D12">
        <f>+Carga!K16</f>
        <v>1</v>
      </c>
      <c r="E12">
        <f>IF(C12=Carga!$E$13,1,0)</f>
        <v>0</v>
      </c>
      <c r="F12">
        <f>+Carga!M16/100</f>
        <v>5.7499999999999999E-3</v>
      </c>
      <c r="G12" s="6">
        <f>+D12/F12/1000</f>
        <v>0.17391304347826086</v>
      </c>
      <c r="H12" s="7">
        <v>0.2</v>
      </c>
      <c r="I12" s="8">
        <v>0.1</v>
      </c>
      <c r="J12" s="8">
        <v>0.15</v>
      </c>
      <c r="L12" s="1" t="s">
        <v>17</v>
      </c>
    </row>
    <row r="13" spans="2:19" x14ac:dyDescent="0.3">
      <c r="B13" t="s">
        <v>18</v>
      </c>
      <c r="C13">
        <f>Carga!K20/12</f>
        <v>0.75</v>
      </c>
      <c r="G13" s="1"/>
    </row>
    <row r="14" spans="2:19" x14ac:dyDescent="0.3">
      <c r="G14" s="1"/>
    </row>
    <row r="15" spans="2:19" x14ac:dyDescent="0.3">
      <c r="B15" s="11" t="s">
        <v>58</v>
      </c>
    </row>
    <row r="16" spans="2:19" x14ac:dyDescent="0.3">
      <c r="B16" t="s">
        <v>38</v>
      </c>
      <c r="C16" t="s">
        <v>55</v>
      </c>
      <c r="D16" t="s">
        <v>56</v>
      </c>
      <c r="E16" t="s">
        <v>61</v>
      </c>
      <c r="F16" t="s">
        <v>105</v>
      </c>
      <c r="G16" t="s">
        <v>0</v>
      </c>
      <c r="H16" t="s">
        <v>1</v>
      </c>
      <c r="I16" t="s">
        <v>13</v>
      </c>
      <c r="J16" t="s">
        <v>24</v>
      </c>
      <c r="K16" t="s">
        <v>27</v>
      </c>
      <c r="L16" t="s">
        <v>11</v>
      </c>
      <c r="M16" t="s">
        <v>80</v>
      </c>
      <c r="N16" t="s">
        <v>46</v>
      </c>
      <c r="O16" t="s">
        <v>23</v>
      </c>
      <c r="P16" s="8" t="s">
        <v>73</v>
      </c>
      <c r="Q16" t="s">
        <v>74</v>
      </c>
      <c r="R16" t="s">
        <v>30</v>
      </c>
      <c r="S16" s="5">
        <f>MAX(I17:I30)</f>
        <v>222.99291981595897</v>
      </c>
    </row>
    <row r="17" spans="1:18" x14ac:dyDescent="0.3">
      <c r="A17">
        <v>0.71</v>
      </c>
      <c r="B17">
        <v>10</v>
      </c>
      <c r="C17" s="5">
        <f>+B17/($E$8*$F$8+$E$9*$F$9+$E$10*$F$10+$E$11*$F$11+$E$12*$F$12)</f>
        <v>21.739130434782609</v>
      </c>
      <c r="D17">
        <f>+E17/B17</f>
        <v>28.331489096374888</v>
      </c>
      <c r="E17" s="5">
        <f>(J17*$C$3+K17*$D$3+L17*$E$3)*B17*($H$5+$J$5+$I$5*(A17))*$P$3</f>
        <v>283.31489096374889</v>
      </c>
      <c r="F17" s="5">
        <f>+E17*((1+(B17*0.0006))*$N$6+$M$6*$M$7)</f>
        <v>285.01478030953137</v>
      </c>
      <c r="G17" s="5">
        <f>+F17*$D$5*$D$6</f>
        <v>93.484847941526283</v>
      </c>
      <c r="H17" s="5">
        <f>+($C$4+(B17*($E$8*$G$8+$E$9*$G$9+$E$10*$G$10+$E$11*$G$11+E$12*G$12)))*(1+($C$13/100)*6)</f>
        <v>20.672826086956519</v>
      </c>
      <c r="I17" s="5">
        <f t="shared" ref="I17:I30" si="0">+G17-H17</f>
        <v>72.812021854569764</v>
      </c>
      <c r="J17" s="1">
        <f>(-8.304*LN(B17)+51.483)*(($E$8*$H$8)+($E$9*$H$9)+($E$10*$H$10)+($E$11*$H$11)+($E$12*$H$12))</f>
        <v>32.36233338777744</v>
      </c>
      <c r="K17" s="1">
        <f>+AVERAGE((-8.304*LN(B17)+51.483),(-12.89*LN(B17) + 77.125))*(($E$8*$I$8)+($E$9*$I$9)+($E$10*$I$10)+($E$11*$I$11)+($E$12*$I$12))</f>
        <v>39.903505769542093</v>
      </c>
      <c r="L17" s="1">
        <f>(-12.89*LN(B17) + 77.125)*(($E$8*$J$8)+($E$9*$J$9)+($E$10*$J$10)+($E$11*$J$11)+($E$12*$J$12))</f>
        <v>47.444678151306746</v>
      </c>
      <c r="N17" s="4">
        <f t="shared" ref="N17:N30" si="1">+I17/H17</f>
        <v>3.5221126298019976</v>
      </c>
      <c r="O17" s="9">
        <f t="shared" ref="O17:O30" si="2">IF(I17=$S$16,I17,-9999)</f>
        <v>-9999</v>
      </c>
      <c r="P17">
        <f t="shared" ref="P17:P30" si="3">+H17/E17</f>
        <v>7.2967665118603586E-2</v>
      </c>
      <c r="Q17" s="4">
        <f>+Carga!K26</f>
        <v>0.12820512820512819</v>
      </c>
      <c r="R17">
        <f t="shared" ref="R17:R30" si="4">IF(I17=$S$16,P17,-9999)</f>
        <v>-9999</v>
      </c>
    </row>
    <row r="18" spans="1:18" x14ac:dyDescent="0.3">
      <c r="A18">
        <v>0.71</v>
      </c>
      <c r="B18">
        <v>20</v>
      </c>
      <c r="C18" s="5">
        <f t="shared" ref="C18:C30" si="5">+B18/($E$8*$F$8+$E$9*$F$9+$E$10*$F$10+$E$11*$F$11+$E$12*$F$12)</f>
        <v>43.478260869565219</v>
      </c>
      <c r="D18">
        <f>+E18/B18</f>
        <v>23.116339818975327</v>
      </c>
      <c r="E18" s="5">
        <f t="shared" ref="E18:E30" si="6">(J18*$C$3+K18*$D$3+L18*$E$3)*B18*($H$5+$J$5+$I$5*(A18))*$P$3</f>
        <v>462.32679637950656</v>
      </c>
      <c r="F18" s="5">
        <f t="shared" ref="F18:F30" si="7">+E18*((1+(B18*0.0006))*$N$6+$M$6*$M$7)</f>
        <v>467.87471793606062</v>
      </c>
      <c r="G18" s="5">
        <f t="shared" ref="G18:G30" si="8">+F18*$D$5*$D$6</f>
        <v>153.46290748302789</v>
      </c>
      <c r="H18" s="5">
        <f t="shared" ref="H18:H29" si="9">+($C$4+(B18*($E$8*$G$8+$E$9*$G$9+$E$10*$G$10+$E$11*$G$11+E$12*G$12)))*(1+($C$13/100)*6)</f>
        <v>36.120652173913037</v>
      </c>
      <c r="I18" s="5">
        <f t="shared" si="0"/>
        <v>117.34225530911485</v>
      </c>
      <c r="J18" s="1">
        <f t="shared" ref="J18:J30" si="10">(-8.304*LN(B18)+51.483)*(($E$8*$H$8)+($E$9*$H$9)+($E$10*$H$10)+($E$11*$H$11)+($E$12*$H$12))</f>
        <v>26.606439200407657</v>
      </c>
      <c r="K18" s="1">
        <f t="shared" ref="K18:K30" si="11">+AVERAGE((-8.304*LN(B18)+51.483),(-12.89*LN(B18) + 77.125))*(($E$8*$I$8)+($E$9*$I$9)+($E$10*$I$10)+($E$11*$I$11)+($E$12*$I$12))</f>
        <v>32.558225097148352</v>
      </c>
      <c r="L18" s="1">
        <f t="shared" ref="L18:L30" si="12">(-12.89*LN(B18) + 77.125)*(($E$8*$J$8)+($E$9*$J$9)+($E$10*$J$10)+($E$11*$J$11)+($E$12*$J$12))</f>
        <v>38.510010993889054</v>
      </c>
      <c r="N18" s="4">
        <f t="shared" si="1"/>
        <v>3.2486195084224274</v>
      </c>
      <c r="O18" s="9">
        <f t="shared" si="2"/>
        <v>-9999</v>
      </c>
      <c r="P18">
        <f t="shared" si="3"/>
        <v>7.8127965882087785E-2</v>
      </c>
      <c r="Q18" s="4">
        <f>+Q17</f>
        <v>0.12820512820512819</v>
      </c>
      <c r="R18">
        <f t="shared" si="4"/>
        <v>-9999</v>
      </c>
    </row>
    <row r="19" spans="1:18" x14ac:dyDescent="0.3">
      <c r="A19">
        <v>0.71</v>
      </c>
      <c r="B19">
        <v>30</v>
      </c>
      <c r="C19" s="5">
        <f t="shared" si="5"/>
        <v>65.217391304347828</v>
      </c>
      <c r="D19">
        <f t="shared" ref="D19:D29" si="13">+E19/B19</f>
        <v>20.065673056033553</v>
      </c>
      <c r="E19" s="5">
        <f t="shared" si="6"/>
        <v>601.97019168100655</v>
      </c>
      <c r="F19" s="5">
        <f t="shared" si="7"/>
        <v>612.80565513126464</v>
      </c>
      <c r="G19" s="5">
        <f t="shared" si="8"/>
        <v>201.00025488305479</v>
      </c>
      <c r="H19" s="5">
        <f t="shared" si="9"/>
        <v>51.568478260869554</v>
      </c>
      <c r="I19" s="5">
        <f t="shared" si="0"/>
        <v>149.43177662218523</v>
      </c>
      <c r="J19" s="1">
        <f t="shared" si="10"/>
        <v>23.239456942677457</v>
      </c>
      <c r="K19" s="1">
        <f t="shared" si="11"/>
        <v>28.261511346526135</v>
      </c>
      <c r="L19" s="1">
        <f t="shared" si="12"/>
        <v>33.283565750374812</v>
      </c>
      <c r="N19" s="4">
        <f t="shared" si="1"/>
        <v>2.89773485008137</v>
      </c>
      <c r="O19" s="9">
        <f t="shared" si="2"/>
        <v>-9999</v>
      </c>
      <c r="P19">
        <f t="shared" si="3"/>
        <v>8.5666165822703227E-2</v>
      </c>
      <c r="Q19" s="4">
        <f t="shared" ref="Q19:Q30" si="14">+Q18</f>
        <v>0.12820512820512819</v>
      </c>
      <c r="R19">
        <f t="shared" si="4"/>
        <v>-9999</v>
      </c>
    </row>
    <row r="20" spans="1:18" x14ac:dyDescent="0.3">
      <c r="A20">
        <v>0.71</v>
      </c>
      <c r="B20">
        <v>40</v>
      </c>
      <c r="C20" s="5">
        <f t="shared" si="5"/>
        <v>86.956521739130437</v>
      </c>
      <c r="D20">
        <f t="shared" si="13"/>
        <v>17.901190541575779</v>
      </c>
      <c r="E20" s="5">
        <f t="shared" si="6"/>
        <v>716.04762166303112</v>
      </c>
      <c r="F20" s="5">
        <f t="shared" si="7"/>
        <v>733.2327645829439</v>
      </c>
      <c r="G20" s="5">
        <f t="shared" si="8"/>
        <v>240.50034678320557</v>
      </c>
      <c r="H20" s="5">
        <f t="shared" si="9"/>
        <v>67.016304347826079</v>
      </c>
      <c r="I20" s="5">
        <f t="shared" si="0"/>
        <v>173.48404243537948</v>
      </c>
      <c r="J20" s="1">
        <f t="shared" si="10"/>
        <v>20.85054501303787</v>
      </c>
      <c r="K20" s="1">
        <f t="shared" si="11"/>
        <v>25.212944424754618</v>
      </c>
      <c r="L20" s="1">
        <f t="shared" si="12"/>
        <v>29.575343836471362</v>
      </c>
      <c r="N20" s="4">
        <f t="shared" si="1"/>
        <v>2.5886841138682857</v>
      </c>
      <c r="O20" s="9">
        <f t="shared" si="2"/>
        <v>-9999</v>
      </c>
      <c r="P20">
        <f t="shared" si="3"/>
        <v>9.3591965562541402E-2</v>
      </c>
      <c r="Q20" s="4">
        <f t="shared" si="14"/>
        <v>0.12820512820512819</v>
      </c>
      <c r="R20">
        <f t="shared" si="4"/>
        <v>-9999</v>
      </c>
    </row>
    <row r="21" spans="1:18" x14ac:dyDescent="0.3">
      <c r="A21">
        <v>0.71</v>
      </c>
      <c r="B21">
        <v>50</v>
      </c>
      <c r="C21" s="5">
        <f t="shared" si="5"/>
        <v>108.69565217391303</v>
      </c>
      <c r="D21">
        <f t="shared" si="13"/>
        <v>16.222287470149336</v>
      </c>
      <c r="E21" s="5">
        <f t="shared" si="6"/>
        <v>811.11437350746678</v>
      </c>
      <c r="F21" s="5">
        <f t="shared" si="7"/>
        <v>835.44780471269075</v>
      </c>
      <c r="G21" s="5">
        <f t="shared" si="8"/>
        <v>274.02687994576257</v>
      </c>
      <c r="H21" s="5">
        <f t="shared" si="9"/>
        <v>82.464130434782589</v>
      </c>
      <c r="I21" s="5">
        <f t="shared" si="0"/>
        <v>191.56274951097998</v>
      </c>
      <c r="J21" s="1">
        <f t="shared" si="10"/>
        <v>18.997560962924673</v>
      </c>
      <c r="K21" s="1">
        <f t="shared" si="11"/>
        <v>22.848292211477936</v>
      </c>
      <c r="L21" s="1">
        <f t="shared" si="12"/>
        <v>26.699023460031199</v>
      </c>
      <c r="N21" s="4">
        <f t="shared" si="1"/>
        <v>2.3229827138294863</v>
      </c>
      <c r="O21" s="9">
        <f t="shared" si="2"/>
        <v>-9999</v>
      </c>
      <c r="P21">
        <f t="shared" si="3"/>
        <v>0.10166769709453738</v>
      </c>
      <c r="Q21" s="4">
        <f t="shared" si="14"/>
        <v>0.12820512820512819</v>
      </c>
      <c r="R21">
        <f t="shared" si="4"/>
        <v>-9999</v>
      </c>
    </row>
    <row r="22" spans="1:18" x14ac:dyDescent="0.3">
      <c r="A22">
        <v>0.71</v>
      </c>
      <c r="B22">
        <v>60</v>
      </c>
      <c r="C22" s="5">
        <f t="shared" si="5"/>
        <v>130.43478260869566</v>
      </c>
      <c r="D22">
        <f t="shared" si="13"/>
        <v>14.850523778634001</v>
      </c>
      <c r="E22" s="5">
        <f t="shared" si="6"/>
        <v>891.03142671804005</v>
      </c>
      <c r="F22" s="5">
        <f t="shared" si="7"/>
        <v>923.10855807988958</v>
      </c>
      <c r="G22" s="5">
        <f t="shared" si="8"/>
        <v>302.77960705020377</v>
      </c>
      <c r="H22" s="5">
        <f t="shared" si="9"/>
        <v>97.911956521739114</v>
      </c>
      <c r="I22" s="5">
        <f t="shared" si="0"/>
        <v>204.86765052846465</v>
      </c>
      <c r="J22" s="1">
        <f t="shared" si="10"/>
        <v>17.483562755307673</v>
      </c>
      <c r="K22" s="1">
        <f t="shared" si="11"/>
        <v>20.916230674132397</v>
      </c>
      <c r="L22" s="1">
        <f t="shared" si="12"/>
        <v>24.34889859295712</v>
      </c>
      <c r="N22" s="4">
        <f t="shared" si="1"/>
        <v>2.09236601745343</v>
      </c>
      <c r="O22" s="9">
        <f t="shared" si="2"/>
        <v>-9999</v>
      </c>
      <c r="P22">
        <f t="shared" si="3"/>
        <v>0.10988608660233326</v>
      </c>
      <c r="Q22" s="4">
        <f t="shared" si="14"/>
        <v>0.12820512820512819</v>
      </c>
      <c r="R22">
        <f t="shared" si="4"/>
        <v>-9999</v>
      </c>
    </row>
    <row r="23" spans="1:18" x14ac:dyDescent="0.3">
      <c r="A23">
        <v>0.71</v>
      </c>
      <c r="B23">
        <v>70</v>
      </c>
      <c r="C23" s="5">
        <f t="shared" si="5"/>
        <v>152.17391304347825</v>
      </c>
      <c r="D23">
        <f t="shared" si="13"/>
        <v>13.690714103202085</v>
      </c>
      <c r="E23" s="5">
        <f t="shared" si="6"/>
        <v>958.34998722414593</v>
      </c>
      <c r="F23" s="5">
        <f t="shared" si="7"/>
        <v>998.60068668756014</v>
      </c>
      <c r="G23" s="5">
        <f t="shared" si="8"/>
        <v>327.54102523351969</v>
      </c>
      <c r="H23" s="5">
        <f t="shared" si="9"/>
        <v>113.35978260869562</v>
      </c>
      <c r="I23" s="5">
        <f t="shared" si="0"/>
        <v>214.18124262482405</v>
      </c>
      <c r="J23" s="1">
        <f t="shared" si="10"/>
        <v>16.203495510022115</v>
      </c>
      <c r="K23" s="1">
        <f t="shared" si="11"/>
        <v>19.282695920002936</v>
      </c>
      <c r="L23" s="1">
        <f t="shared" si="12"/>
        <v>22.361896329983757</v>
      </c>
      <c r="N23" s="4">
        <f t="shared" si="1"/>
        <v>1.889393554715538</v>
      </c>
      <c r="O23" s="9">
        <f t="shared" si="2"/>
        <v>-9999</v>
      </c>
      <c r="P23">
        <f t="shared" si="3"/>
        <v>0.11828641323097572</v>
      </c>
      <c r="Q23" s="4">
        <f t="shared" si="14"/>
        <v>0.12820512820512819</v>
      </c>
      <c r="R23">
        <f t="shared" si="4"/>
        <v>-9999</v>
      </c>
    </row>
    <row r="24" spans="1:18" x14ac:dyDescent="0.3">
      <c r="A24">
        <v>0.71</v>
      </c>
      <c r="B24">
        <v>80</v>
      </c>
      <c r="C24" s="5">
        <f t="shared" si="5"/>
        <v>173.91304347826087</v>
      </c>
      <c r="D24">
        <f t="shared" si="13"/>
        <v>12.686041264176222</v>
      </c>
      <c r="E24" s="5">
        <f t="shared" si="6"/>
        <v>1014.8833011340977</v>
      </c>
      <c r="F24" s="5">
        <f t="shared" si="7"/>
        <v>1063.5976995885344</v>
      </c>
      <c r="G24" s="5">
        <f t="shared" si="8"/>
        <v>348.86004546503926</v>
      </c>
      <c r="H24" s="5">
        <f t="shared" si="9"/>
        <v>128.80760869565216</v>
      </c>
      <c r="I24" s="5">
        <f t="shared" si="0"/>
        <v>220.0524367693871</v>
      </c>
      <c r="J24" s="1">
        <f t="shared" si="10"/>
        <v>15.094650825668083</v>
      </c>
      <c r="K24" s="1">
        <f t="shared" si="11"/>
        <v>17.867663752360876</v>
      </c>
      <c r="L24" s="1">
        <f t="shared" si="12"/>
        <v>20.640676679053669</v>
      </c>
      <c r="N24" s="4">
        <f t="shared" si="1"/>
        <v>1.7083807315244015</v>
      </c>
      <c r="O24" s="9">
        <f t="shared" si="2"/>
        <v>-9999</v>
      </c>
      <c r="P24">
        <f t="shared" si="3"/>
        <v>0.12691864035176659</v>
      </c>
      <c r="Q24" s="4">
        <f t="shared" si="14"/>
        <v>0.12820512820512819</v>
      </c>
      <c r="R24">
        <f t="shared" si="4"/>
        <v>-9999</v>
      </c>
    </row>
    <row r="25" spans="1:18" x14ac:dyDescent="0.3">
      <c r="A25">
        <v>0.71</v>
      </c>
      <c r="B25">
        <v>90</v>
      </c>
      <c r="C25" s="5">
        <f t="shared" si="5"/>
        <v>195.65217391304347</v>
      </c>
      <c r="D25">
        <f t="shared" si="13"/>
        <v>11.799857015692224</v>
      </c>
      <c r="E25" s="5">
        <f t="shared" si="6"/>
        <v>1061.9871314123002</v>
      </c>
      <c r="F25" s="5">
        <f t="shared" si="7"/>
        <v>1119.3344365085645</v>
      </c>
      <c r="G25" s="5">
        <f t="shared" si="8"/>
        <v>367.14169517480917</v>
      </c>
      <c r="H25" s="5">
        <f t="shared" si="9"/>
        <v>144.25543478260869</v>
      </c>
      <c r="I25" s="5">
        <f t="shared" si="0"/>
        <v>222.88626039220048</v>
      </c>
      <c r="J25" s="1">
        <f t="shared" si="10"/>
        <v>14.116580497577473</v>
      </c>
      <c r="K25" s="1">
        <f t="shared" si="11"/>
        <v>16.619516923510176</v>
      </c>
      <c r="L25" s="1">
        <f t="shared" si="12"/>
        <v>19.122453349442878</v>
      </c>
      <c r="N25" s="4">
        <f t="shared" si="1"/>
        <v>1.5450805075599929</v>
      </c>
      <c r="O25" s="9">
        <f t="shared" si="2"/>
        <v>-9999</v>
      </c>
      <c r="P25">
        <f t="shared" si="3"/>
        <v>0.13583538869323994</v>
      </c>
      <c r="Q25" s="4">
        <f t="shared" si="14"/>
        <v>0.12820512820512819</v>
      </c>
      <c r="R25">
        <f t="shared" si="4"/>
        <v>-9999</v>
      </c>
    </row>
    <row r="26" spans="1:18" x14ac:dyDescent="0.3">
      <c r="A26">
        <v>0.71</v>
      </c>
      <c r="B26">
        <v>100</v>
      </c>
      <c r="C26" s="5">
        <f t="shared" si="5"/>
        <v>217.39130434782606</v>
      </c>
      <c r="D26">
        <f t="shared" si="13"/>
        <v>11.007138192749773</v>
      </c>
      <c r="E26" s="5">
        <f t="shared" si="6"/>
        <v>1100.7138192749774</v>
      </c>
      <c r="F26" s="5">
        <f t="shared" si="7"/>
        <v>1166.7566484314762</v>
      </c>
      <c r="G26" s="5">
        <f t="shared" si="8"/>
        <v>382.69618068552415</v>
      </c>
      <c r="H26" s="5">
        <f t="shared" si="9"/>
        <v>159.70326086956518</v>
      </c>
      <c r="I26" s="5">
        <f t="shared" si="0"/>
        <v>222.99291981595897</v>
      </c>
      <c r="J26" s="1">
        <f t="shared" si="10"/>
        <v>13.241666775554883</v>
      </c>
      <c r="K26" s="1">
        <f t="shared" si="11"/>
        <v>15.503011539084188</v>
      </c>
      <c r="L26" s="1">
        <f t="shared" si="12"/>
        <v>17.764356302613493</v>
      </c>
      <c r="N26" s="4">
        <f t="shared" si="1"/>
        <v>1.3962953455163605</v>
      </c>
      <c r="O26" s="9">
        <f t="shared" si="2"/>
        <v>222.99291981595897</v>
      </c>
      <c r="P26">
        <f t="shared" si="3"/>
        <v>0.14509062943786713</v>
      </c>
      <c r="Q26" s="4">
        <f t="shared" si="14"/>
        <v>0.12820512820512819</v>
      </c>
      <c r="R26">
        <f t="shared" si="4"/>
        <v>0.14509062943786713</v>
      </c>
    </row>
    <row r="27" spans="1:18" x14ac:dyDescent="0.3">
      <c r="A27">
        <v>0.71</v>
      </c>
      <c r="B27">
        <v>120</v>
      </c>
      <c r="C27" s="5">
        <f t="shared" si="5"/>
        <v>260.86956521739131</v>
      </c>
      <c r="D27">
        <f t="shared" si="13"/>
        <v>9.6353745012344483</v>
      </c>
      <c r="E27" s="5">
        <f t="shared" si="6"/>
        <v>1156.2449401481338</v>
      </c>
      <c r="F27" s="5">
        <f t="shared" si="7"/>
        <v>1239.4945758387994</v>
      </c>
      <c r="G27" s="5">
        <f t="shared" si="8"/>
        <v>406.55422087512619</v>
      </c>
      <c r="H27" s="5">
        <f t="shared" si="9"/>
        <v>190.59891304347823</v>
      </c>
      <c r="I27" s="5">
        <f t="shared" si="0"/>
        <v>215.95530783164796</v>
      </c>
      <c r="J27" s="1">
        <f t="shared" si="10"/>
        <v>11.72766856793789</v>
      </c>
      <c r="K27" s="1">
        <f t="shared" si="11"/>
        <v>13.570950001738659</v>
      </c>
      <c r="L27" s="1">
        <f t="shared" si="12"/>
        <v>15.414231435539428</v>
      </c>
      <c r="N27" s="4">
        <f t="shared" si="1"/>
        <v>1.1330353588238229</v>
      </c>
      <c r="O27" s="9">
        <f t="shared" si="2"/>
        <v>-9999</v>
      </c>
      <c r="P27">
        <f t="shared" si="3"/>
        <v>0.16484302454033609</v>
      </c>
      <c r="Q27" s="4">
        <f t="shared" si="14"/>
        <v>0.12820512820512819</v>
      </c>
      <c r="R27">
        <f t="shared" si="4"/>
        <v>-9999</v>
      </c>
    </row>
    <row r="28" spans="1:18" x14ac:dyDescent="0.3">
      <c r="A28">
        <v>0.71</v>
      </c>
      <c r="B28">
        <v>150</v>
      </c>
      <c r="C28" s="5">
        <f t="shared" si="5"/>
        <v>326.08695652173913</v>
      </c>
      <c r="D28">
        <f t="shared" si="13"/>
        <v>7.9564714298080013</v>
      </c>
      <c r="E28" s="5">
        <f t="shared" si="6"/>
        <v>1193.4707144712002</v>
      </c>
      <c r="F28" s="5">
        <f t="shared" si="7"/>
        <v>1300.8830787736083</v>
      </c>
      <c r="G28" s="5">
        <f t="shared" si="8"/>
        <v>426.68964983774356</v>
      </c>
      <c r="H28" s="5">
        <f t="shared" si="9"/>
        <v>236.94239130434781</v>
      </c>
      <c r="I28" s="5">
        <f t="shared" si="0"/>
        <v>189.74725853339575</v>
      </c>
      <c r="J28" s="1">
        <f t="shared" si="10"/>
        <v>9.87468451782469</v>
      </c>
      <c r="K28" s="1">
        <f t="shared" si="11"/>
        <v>11.206297788461974</v>
      </c>
      <c r="L28" s="1">
        <f t="shared" si="12"/>
        <v>12.537911059099258</v>
      </c>
      <c r="N28" s="4">
        <f t="shared" si="1"/>
        <v>0.80081600210436454</v>
      </c>
      <c r="O28" s="9">
        <f t="shared" si="2"/>
        <v>-9999</v>
      </c>
      <c r="P28">
        <f t="shared" si="3"/>
        <v>0.19853222071672835</v>
      </c>
      <c r="Q28" s="4">
        <f t="shared" si="14"/>
        <v>0.12820512820512819</v>
      </c>
      <c r="R28">
        <f t="shared" si="4"/>
        <v>-9999</v>
      </c>
    </row>
    <row r="29" spans="1:18" x14ac:dyDescent="0.3">
      <c r="A29">
        <v>0.71</v>
      </c>
      <c r="B29">
        <v>170</v>
      </c>
      <c r="C29" s="5">
        <f t="shared" si="5"/>
        <v>369.56521739130432</v>
      </c>
      <c r="D29">
        <f t="shared" si="13"/>
        <v>7.0147602134306402</v>
      </c>
      <c r="E29" s="5">
        <f t="shared" si="6"/>
        <v>1192.5092362832088</v>
      </c>
      <c r="F29" s="5">
        <f t="shared" si="7"/>
        <v>1314.1451783840962</v>
      </c>
      <c r="G29" s="5">
        <f t="shared" si="8"/>
        <v>431.0396185099836</v>
      </c>
      <c r="H29" s="5">
        <f t="shared" si="9"/>
        <v>267.83804347826083</v>
      </c>
      <c r="I29" s="5">
        <f t="shared" si="0"/>
        <v>163.20157503172277</v>
      </c>
      <c r="J29" s="1">
        <f t="shared" si="10"/>
        <v>8.8353297787346179</v>
      </c>
      <c r="K29" s="1">
        <f t="shared" si="11"/>
        <v>9.8799439625783663</v>
      </c>
      <c r="L29" s="1">
        <f t="shared" si="12"/>
        <v>10.924558146422115</v>
      </c>
      <c r="N29" s="4">
        <f t="shared" si="1"/>
        <v>0.60932932794877248</v>
      </c>
      <c r="O29" s="9">
        <f t="shared" si="2"/>
        <v>-9999</v>
      </c>
      <c r="P29">
        <f t="shared" si="3"/>
        <v>0.2246003932959493</v>
      </c>
      <c r="Q29" s="4">
        <f t="shared" si="14"/>
        <v>0.12820512820512819</v>
      </c>
      <c r="R29">
        <f t="shared" si="4"/>
        <v>-9999</v>
      </c>
    </row>
    <row r="30" spans="1:18" x14ac:dyDescent="0.3">
      <c r="A30">
        <v>0.71</v>
      </c>
      <c r="B30">
        <v>200</v>
      </c>
      <c r="C30" s="5">
        <f t="shared" si="5"/>
        <v>434.78260869565213</v>
      </c>
      <c r="D30">
        <f>+E30/B30</f>
        <v>5.791988915350224</v>
      </c>
      <c r="E30" s="5">
        <f t="shared" si="6"/>
        <v>1158.3977830700449</v>
      </c>
      <c r="F30" s="5">
        <f t="shared" si="7"/>
        <v>1297.4055170384504</v>
      </c>
      <c r="G30" s="5">
        <f t="shared" si="8"/>
        <v>425.54900958861174</v>
      </c>
      <c r="H30" s="5">
        <f>+($C$4+(B30*($E$8*$G$8+$E$9*$G$9+$E$10*$G$10+$E$11*$G$11+E$12*G$12)))*(1+($C$13/100)*6)</f>
        <v>314.18152173913035</v>
      </c>
      <c r="I30" s="5">
        <f t="shared" si="0"/>
        <v>111.36748784948139</v>
      </c>
      <c r="J30" s="1">
        <f t="shared" si="10"/>
        <v>7.4857725881850996</v>
      </c>
      <c r="K30" s="1">
        <f t="shared" si="11"/>
        <v>8.1577308666904571</v>
      </c>
      <c r="L30" s="1">
        <f t="shared" si="12"/>
        <v>8.8296891451958146</v>
      </c>
      <c r="N30" s="4">
        <f t="shared" si="1"/>
        <v>0.35446861175353112</v>
      </c>
      <c r="O30" s="9">
        <f t="shared" si="2"/>
        <v>-9999</v>
      </c>
      <c r="P30">
        <f t="shared" si="3"/>
        <v>0.27122075536649465</v>
      </c>
      <c r="Q30" s="4">
        <f t="shared" si="14"/>
        <v>0.12820512820512819</v>
      </c>
      <c r="R30">
        <f t="shared" si="4"/>
        <v>-9999</v>
      </c>
    </row>
    <row r="31" spans="1:18" x14ac:dyDescent="0.3">
      <c r="E31" s="5"/>
      <c r="F31" s="5"/>
      <c r="G31" s="5"/>
      <c r="H31" s="5"/>
      <c r="I31" s="5"/>
      <c r="J31" s="5"/>
      <c r="K31" s="5"/>
      <c r="L31" s="4"/>
      <c r="M31" s="8" t="str">
        <f>IF(H31=$S$16,9999,"")</f>
        <v/>
      </c>
    </row>
    <row r="32" spans="1:18" x14ac:dyDescent="0.3">
      <c r="E32" s="5"/>
      <c r="F32" s="5"/>
      <c r="G32" s="5"/>
      <c r="H32" s="5"/>
      <c r="I32" s="5"/>
      <c r="J32" s="5"/>
      <c r="K32" s="5"/>
      <c r="L32" s="4"/>
      <c r="M32" s="8" t="str">
        <f>IF(H32=$S$16,9999,"")</f>
        <v/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"/>
  <sheetViews>
    <sheetView topLeftCell="A5" zoomScale="130" zoomScaleNormal="130" workbookViewId="0">
      <selection activeCell="I7" sqref="I7"/>
    </sheetView>
  </sheetViews>
  <sheetFormatPr baseColWidth="10" defaultColWidth="9.109375" defaultRowHeight="14.4" x14ac:dyDescent="0.3"/>
  <cols>
    <col min="2" max="2" width="11.88671875" bestFit="1" customWidth="1"/>
    <col min="5" max="5" width="10.44140625" bestFit="1" customWidth="1"/>
    <col min="9" max="9" width="10.88671875" bestFit="1" customWidth="1"/>
  </cols>
  <sheetData>
    <row r="1" spans="1:22" x14ac:dyDescent="0.3">
      <c r="A1" s="11" t="s">
        <v>65</v>
      </c>
      <c r="B1" s="11"/>
      <c r="C1" s="11"/>
      <c r="D1" s="11"/>
    </row>
    <row r="2" spans="1:22" x14ac:dyDescent="0.3">
      <c r="A2" t="s">
        <v>47</v>
      </c>
      <c r="B2" t="s">
        <v>19</v>
      </c>
      <c r="C2" t="s">
        <v>20</v>
      </c>
      <c r="D2" t="s">
        <v>9</v>
      </c>
      <c r="E2" t="s">
        <v>21</v>
      </c>
      <c r="F2" t="s">
        <v>22</v>
      </c>
      <c r="G2" t="s">
        <v>18</v>
      </c>
      <c r="H2" t="s">
        <v>23</v>
      </c>
      <c r="I2" t="s">
        <v>64</v>
      </c>
    </row>
    <row r="3" spans="1:22" x14ac:dyDescent="0.3">
      <c r="A3" s="3">
        <v>0.8</v>
      </c>
      <c r="B3" t="s">
        <v>24</v>
      </c>
      <c r="C3" t="s">
        <v>6</v>
      </c>
      <c r="D3">
        <f>+D4*0.8</f>
        <v>544</v>
      </c>
      <c r="E3">
        <f>+Carga!E18</f>
        <v>0.8</v>
      </c>
      <c r="F3">
        <f>+F15</f>
        <v>0.41</v>
      </c>
      <c r="G3">
        <f>+$G$19</f>
        <v>9</v>
      </c>
      <c r="H3">
        <v>120</v>
      </c>
      <c r="I3" s="5">
        <v>158</v>
      </c>
    </row>
    <row r="4" spans="1:22" x14ac:dyDescent="0.3">
      <c r="A4" s="3">
        <v>1</v>
      </c>
      <c r="B4" t="s">
        <v>24</v>
      </c>
      <c r="C4" t="s">
        <v>6</v>
      </c>
      <c r="D4">
        <f>+Carga!K12</f>
        <v>680</v>
      </c>
      <c r="E4">
        <f>+E3</f>
        <v>0.8</v>
      </c>
      <c r="F4">
        <f>+F3</f>
        <v>0.41</v>
      </c>
      <c r="G4">
        <f t="shared" ref="G4:G16" si="0">+$G$19</f>
        <v>9</v>
      </c>
      <c r="H4">
        <v>100</v>
      </c>
      <c r="I4" s="5">
        <v>139.97999999999999</v>
      </c>
    </row>
    <row r="5" spans="1:22" x14ac:dyDescent="0.3">
      <c r="A5" s="3">
        <v>1.2</v>
      </c>
      <c r="B5" t="s">
        <v>24</v>
      </c>
      <c r="C5" t="s">
        <v>6</v>
      </c>
      <c r="D5">
        <f>+D4*1.2</f>
        <v>816</v>
      </c>
      <c r="E5">
        <f>+E4</f>
        <v>0.8</v>
      </c>
      <c r="F5">
        <f>+F4</f>
        <v>0.41</v>
      </c>
      <c r="G5">
        <f t="shared" si="0"/>
        <v>9</v>
      </c>
      <c r="H5">
        <v>90</v>
      </c>
      <c r="I5" s="5">
        <v>123</v>
      </c>
    </row>
    <row r="6" spans="1:22" x14ac:dyDescent="0.3">
      <c r="I6" s="5"/>
    </row>
    <row r="7" spans="1:22" x14ac:dyDescent="0.3">
      <c r="A7" s="3">
        <v>0.8</v>
      </c>
      <c r="B7" t="s">
        <v>24</v>
      </c>
      <c r="C7" t="s">
        <v>6</v>
      </c>
      <c r="D7">
        <v>410</v>
      </c>
      <c r="E7">
        <f>+E8*0.8</f>
        <v>0.64000000000000012</v>
      </c>
      <c r="F7">
        <f>+F5</f>
        <v>0.41</v>
      </c>
      <c r="G7">
        <f t="shared" si="0"/>
        <v>9</v>
      </c>
      <c r="H7">
        <v>80</v>
      </c>
      <c r="I7" s="5">
        <v>94</v>
      </c>
      <c r="S7" t="s">
        <v>85</v>
      </c>
      <c r="T7">
        <f>0.2/0.46</f>
        <v>0.43478260869565216</v>
      </c>
      <c r="U7" t="s">
        <v>94</v>
      </c>
    </row>
    <row r="8" spans="1:22" x14ac:dyDescent="0.3">
      <c r="A8" s="3">
        <v>1</v>
      </c>
      <c r="B8" t="s">
        <v>24</v>
      </c>
      <c r="C8" t="s">
        <v>6</v>
      </c>
      <c r="D8">
        <f>+Carga!K12</f>
        <v>680</v>
      </c>
      <c r="E8">
        <f>+E5</f>
        <v>0.8</v>
      </c>
      <c r="F8">
        <f>+F7</f>
        <v>0.41</v>
      </c>
      <c r="G8">
        <f t="shared" si="0"/>
        <v>9</v>
      </c>
      <c r="H8">
        <v>100</v>
      </c>
      <c r="I8" s="5">
        <v>139.97999999999999</v>
      </c>
      <c r="R8" t="s">
        <v>92</v>
      </c>
      <c r="S8" t="s">
        <v>86</v>
      </c>
      <c r="T8">
        <f>0.28*0.43</f>
        <v>0.12040000000000001</v>
      </c>
      <c r="U8">
        <f>(501.9-U9)/T8</f>
        <v>1900.0252780586447</v>
      </c>
    </row>
    <row r="9" spans="1:22" x14ac:dyDescent="0.3">
      <c r="A9" s="3">
        <v>1.2</v>
      </c>
      <c r="B9" t="s">
        <v>24</v>
      </c>
      <c r="C9" t="s">
        <v>6</v>
      </c>
      <c r="D9">
        <v>410</v>
      </c>
      <c r="E9">
        <f>+E8*1.2</f>
        <v>0.96</v>
      </c>
      <c r="F9">
        <f>+F8</f>
        <v>0.41</v>
      </c>
      <c r="G9">
        <f t="shared" si="0"/>
        <v>9</v>
      </c>
      <c r="H9">
        <v>100</v>
      </c>
      <c r="I9" s="5">
        <v>187</v>
      </c>
      <c r="R9" t="s">
        <v>93</v>
      </c>
      <c r="S9" t="s">
        <v>87</v>
      </c>
      <c r="T9">
        <v>0.193</v>
      </c>
      <c r="U9">
        <f>+U13*T9</f>
        <v>273.13695652173914</v>
      </c>
    </row>
    <row r="10" spans="1:22" x14ac:dyDescent="0.3">
      <c r="I10" s="5"/>
      <c r="S10" t="s">
        <v>88</v>
      </c>
      <c r="U10">
        <f>+U14*T8</f>
        <v>394.46704347826085</v>
      </c>
    </row>
    <row r="11" spans="1:22" x14ac:dyDescent="0.3">
      <c r="A11" s="3"/>
      <c r="B11" t="s">
        <v>24</v>
      </c>
      <c r="C11" t="s">
        <v>6</v>
      </c>
      <c r="D11">
        <f>+D8</f>
        <v>680</v>
      </c>
      <c r="E11">
        <f>+E8</f>
        <v>0.8</v>
      </c>
      <c r="F11">
        <f>+F9</f>
        <v>0.41</v>
      </c>
      <c r="G11">
        <f t="shared" si="0"/>
        <v>9</v>
      </c>
      <c r="H11">
        <v>100</v>
      </c>
      <c r="I11" s="5">
        <v>139.97999999999999</v>
      </c>
      <c r="U11">
        <f>501.9-U10</f>
        <v>107.43295652173913</v>
      </c>
      <c r="V11">
        <f>+U11/T9</f>
        <v>556.64744311781931</v>
      </c>
    </row>
    <row r="12" spans="1:22" x14ac:dyDescent="0.3">
      <c r="A12" s="3"/>
      <c r="B12" t="s">
        <v>11</v>
      </c>
      <c r="C12" t="s">
        <v>6</v>
      </c>
      <c r="D12">
        <v>410</v>
      </c>
      <c r="E12">
        <f>+E11</f>
        <v>0.8</v>
      </c>
      <c r="F12">
        <f>+F11</f>
        <v>0.41</v>
      </c>
      <c r="G12">
        <f t="shared" si="0"/>
        <v>9</v>
      </c>
      <c r="H12">
        <v>100</v>
      </c>
      <c r="I12" s="5">
        <v>217</v>
      </c>
      <c r="S12" t="s">
        <v>89</v>
      </c>
    </row>
    <row r="13" spans="1:22" x14ac:dyDescent="0.3">
      <c r="A13" s="3"/>
      <c r="I13" s="5"/>
      <c r="S13" t="s">
        <v>90</v>
      </c>
      <c r="T13">
        <v>0.46</v>
      </c>
      <c r="U13">
        <f>651/T13</f>
        <v>1415.2173913043478</v>
      </c>
    </row>
    <row r="14" spans="1:22" x14ac:dyDescent="0.3">
      <c r="A14" s="3">
        <v>0.8</v>
      </c>
      <c r="B14" t="s">
        <v>24</v>
      </c>
      <c r="C14" t="s">
        <v>6</v>
      </c>
      <c r="D14">
        <f>+D4</f>
        <v>680</v>
      </c>
      <c r="E14">
        <f>+E12</f>
        <v>0.8</v>
      </c>
      <c r="F14">
        <f>+F15*0.8</f>
        <v>0.32800000000000001</v>
      </c>
      <c r="G14">
        <f t="shared" si="0"/>
        <v>9</v>
      </c>
      <c r="H14">
        <v>80</v>
      </c>
      <c r="I14" s="5">
        <v>94</v>
      </c>
      <c r="S14" t="s">
        <v>91</v>
      </c>
      <c r="T14">
        <v>0.2</v>
      </c>
      <c r="U14">
        <f>(910-U15)/T14</f>
        <v>3276.3043478260865</v>
      </c>
      <c r="V14">
        <f>910/0.2</f>
        <v>4550</v>
      </c>
    </row>
    <row r="15" spans="1:22" x14ac:dyDescent="0.3">
      <c r="A15" s="3">
        <v>1</v>
      </c>
      <c r="B15" t="s">
        <v>24</v>
      </c>
      <c r="C15" t="s">
        <v>6</v>
      </c>
      <c r="D15">
        <f>+D14</f>
        <v>680</v>
      </c>
      <c r="E15">
        <f>+E13</f>
        <v>0</v>
      </c>
      <c r="F15">
        <f>+Carga!K25</f>
        <v>0.41</v>
      </c>
      <c r="G15">
        <f t="shared" si="0"/>
        <v>9</v>
      </c>
      <c r="H15">
        <v>100</v>
      </c>
      <c r="I15" s="5">
        <v>139.97999999999999</v>
      </c>
      <c r="U15">
        <f>+U13*0.18</f>
        <v>254.7391304347826</v>
      </c>
    </row>
    <row r="16" spans="1:22" x14ac:dyDescent="0.3">
      <c r="A16" s="3">
        <v>1.2</v>
      </c>
      <c r="B16" t="s">
        <v>24</v>
      </c>
      <c r="C16" t="s">
        <v>6</v>
      </c>
      <c r="D16">
        <f>+D15</f>
        <v>680</v>
      </c>
      <c r="E16">
        <f>+E14</f>
        <v>0.8</v>
      </c>
      <c r="F16">
        <f>+F15*1.2</f>
        <v>0.49199999999999994</v>
      </c>
      <c r="G16">
        <f t="shared" si="0"/>
        <v>9</v>
      </c>
      <c r="H16">
        <v>100</v>
      </c>
      <c r="I16" s="5">
        <v>188</v>
      </c>
    </row>
    <row r="17" spans="1:9" x14ac:dyDescent="0.3">
      <c r="I17" s="5"/>
    </row>
    <row r="18" spans="1:9" x14ac:dyDescent="0.3">
      <c r="A18" s="3">
        <v>0.8</v>
      </c>
      <c r="B18" t="s">
        <v>24</v>
      </c>
      <c r="C18" t="s">
        <v>6</v>
      </c>
      <c r="D18">
        <f t="shared" ref="D18:E20" si="1">+D16</f>
        <v>680</v>
      </c>
      <c r="E18">
        <f t="shared" si="1"/>
        <v>0.8</v>
      </c>
      <c r="F18">
        <f>+F15</f>
        <v>0.41</v>
      </c>
      <c r="G18">
        <f>+G19*0.8</f>
        <v>7.2</v>
      </c>
      <c r="H18">
        <v>100</v>
      </c>
      <c r="I18" s="5">
        <v>140.83000000000001</v>
      </c>
    </row>
    <row r="19" spans="1:9" x14ac:dyDescent="0.3">
      <c r="A19" s="3">
        <v>1</v>
      </c>
      <c r="B19" t="s">
        <v>24</v>
      </c>
      <c r="C19" t="s">
        <v>6</v>
      </c>
      <c r="D19">
        <f>+D18</f>
        <v>680</v>
      </c>
      <c r="E19">
        <f t="shared" si="1"/>
        <v>0</v>
      </c>
      <c r="F19">
        <f>+F18</f>
        <v>0.41</v>
      </c>
      <c r="G19">
        <f>+Carga!K20</f>
        <v>9</v>
      </c>
      <c r="H19">
        <v>100</v>
      </c>
      <c r="I19" s="5">
        <v>139.97999999999999</v>
      </c>
    </row>
    <row r="20" spans="1:9" x14ac:dyDescent="0.3">
      <c r="A20" s="3">
        <v>1.2</v>
      </c>
      <c r="B20" t="s">
        <v>24</v>
      </c>
      <c r="C20" t="s">
        <v>6</v>
      </c>
      <c r="D20">
        <f>+D19</f>
        <v>680</v>
      </c>
      <c r="E20">
        <f t="shared" si="1"/>
        <v>0.8</v>
      </c>
      <c r="F20">
        <f>+F19</f>
        <v>0.41</v>
      </c>
      <c r="G20">
        <f>+G19*1.2</f>
        <v>10.799999999999999</v>
      </c>
      <c r="H20">
        <v>100</v>
      </c>
      <c r="I20" s="5">
        <v>139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8"/>
  <sheetViews>
    <sheetView workbookViewId="0">
      <selection activeCell="F6" sqref="F6"/>
    </sheetView>
  </sheetViews>
  <sheetFormatPr baseColWidth="10" defaultColWidth="9.109375" defaultRowHeight="14.4" x14ac:dyDescent="0.3"/>
  <cols>
    <col min="1" max="16384" width="9.109375" style="10"/>
  </cols>
  <sheetData>
    <row r="2" spans="2:10" x14ac:dyDescent="0.3">
      <c r="B2" s="12"/>
      <c r="C2" s="13"/>
      <c r="D2" s="13"/>
      <c r="E2" s="13"/>
      <c r="F2" s="13"/>
      <c r="G2" s="13"/>
      <c r="H2" s="13"/>
      <c r="I2" s="13"/>
      <c r="J2" s="14"/>
    </row>
    <row r="3" spans="2:10" x14ac:dyDescent="0.3">
      <c r="B3" s="15"/>
      <c r="E3" s="44" t="s">
        <v>70</v>
      </c>
      <c r="F3" s="44"/>
      <c r="G3" s="44"/>
      <c r="H3" s="44"/>
      <c r="I3" s="44"/>
      <c r="J3" s="16"/>
    </row>
    <row r="4" spans="2:10" x14ac:dyDescent="0.3">
      <c r="B4" s="15"/>
      <c r="E4" s="44"/>
      <c r="F4" s="44"/>
      <c r="G4" s="44"/>
      <c r="H4" s="44"/>
      <c r="I4" s="44"/>
      <c r="J4" s="16"/>
    </row>
    <row r="5" spans="2:10" x14ac:dyDescent="0.3">
      <c r="B5" s="15"/>
      <c r="E5" s="10" t="s">
        <v>66</v>
      </c>
      <c r="J5" s="16"/>
    </row>
    <row r="6" spans="2:10" x14ac:dyDescent="0.3">
      <c r="B6" s="15"/>
      <c r="E6" s="10" t="s">
        <v>67</v>
      </c>
      <c r="J6" s="16"/>
    </row>
    <row r="7" spans="2:10" x14ac:dyDescent="0.3">
      <c r="B7" s="17"/>
      <c r="C7" s="18"/>
      <c r="D7" s="18"/>
      <c r="E7" s="20" t="s">
        <v>68</v>
      </c>
      <c r="F7" s="18"/>
      <c r="G7" s="18"/>
      <c r="H7" s="18"/>
      <c r="I7" s="18"/>
      <c r="J7" s="19"/>
    </row>
    <row r="9" spans="2:10" x14ac:dyDescent="0.3">
      <c r="B9" s="12"/>
      <c r="C9" s="13"/>
      <c r="D9" s="13"/>
      <c r="E9" s="13"/>
      <c r="F9" s="13"/>
      <c r="G9" s="13"/>
      <c r="H9" s="13"/>
      <c r="I9" s="13"/>
      <c r="J9" s="14"/>
    </row>
    <row r="10" spans="2:10" x14ac:dyDescent="0.3">
      <c r="B10" s="15"/>
      <c r="C10" s="21" t="s">
        <v>69</v>
      </c>
      <c r="J10" s="16"/>
    </row>
    <row r="11" spans="2:10" x14ac:dyDescent="0.3">
      <c r="B11" s="15"/>
      <c r="C11" s="10" t="s">
        <v>78</v>
      </c>
      <c r="J11" s="16"/>
    </row>
    <row r="12" spans="2:10" x14ac:dyDescent="0.3">
      <c r="B12" s="15"/>
      <c r="J12" s="16"/>
    </row>
    <row r="13" spans="2:10" x14ac:dyDescent="0.3">
      <c r="B13" s="17"/>
      <c r="C13" s="18"/>
      <c r="D13" s="18"/>
      <c r="E13" s="18"/>
      <c r="F13" s="18"/>
      <c r="G13" s="18"/>
      <c r="H13" s="18"/>
      <c r="I13" s="18"/>
      <c r="J13" s="19"/>
    </row>
    <row r="15" spans="2:10" x14ac:dyDescent="0.3">
      <c r="B15" s="12"/>
      <c r="C15" s="13"/>
      <c r="D15" s="13"/>
      <c r="E15" s="13"/>
      <c r="F15" s="13"/>
      <c r="G15" s="13"/>
      <c r="H15" s="13"/>
      <c r="I15" s="13"/>
      <c r="J15" s="14"/>
    </row>
    <row r="16" spans="2:10" x14ac:dyDescent="0.3">
      <c r="B16" s="15"/>
      <c r="C16" s="10" t="s">
        <v>76</v>
      </c>
      <c r="J16" s="16"/>
    </row>
    <row r="17" spans="2:10" x14ac:dyDescent="0.3">
      <c r="B17" s="15"/>
      <c r="D17" s="10" t="s">
        <v>77</v>
      </c>
      <c r="J17" s="16"/>
    </row>
    <row r="18" spans="2:10" x14ac:dyDescent="0.3">
      <c r="B18" s="17"/>
      <c r="C18" s="18"/>
      <c r="D18" s="18"/>
      <c r="E18" s="18"/>
      <c r="F18" s="18"/>
      <c r="G18" s="18"/>
      <c r="H18" s="18"/>
      <c r="I18" s="18"/>
      <c r="J18" s="19"/>
    </row>
  </sheetData>
  <sheetProtection algorithmName="SHA-512" hashValue="xdT2iburAFTo4WzvA0Wk+a8ZnJFJ1QzFFeD+411+g8/fx9E3ipKjoxmYMy9eKw2S31N4PUshXFCosBGLQQ5kZw==" saltValue="KoSwkXNz9Bgs7xZsQHYCig==" spinCount="100000" sheet="1" objects="1" scenarios="1"/>
  <mergeCells count="1">
    <mergeCell ref="E3:I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Carga</vt:lpstr>
      <vt:lpstr>Oculta</vt:lpstr>
      <vt:lpstr>Ej. Analisis sensibilidad</vt:lpstr>
      <vt:lpstr>Acerca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Berhongaray</dc:creator>
  <cp:lastModifiedBy>Gonzalo Berhongaray</cp:lastModifiedBy>
  <dcterms:created xsi:type="dcterms:W3CDTF">2019-06-10T01:52:59Z</dcterms:created>
  <dcterms:modified xsi:type="dcterms:W3CDTF">2026-04-16T17:22:14Z</dcterms:modified>
</cp:coreProperties>
</file>